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620" tabRatio="333" activeTab="2"/>
  </bookViews>
  <sheets>
    <sheet name="DGH r2022 clg" sheetId="5" r:id="rId1"/>
    <sheet name="structures r2022 clg" sheetId="6" r:id="rId2"/>
    <sheet name="DGH et structures r2022 SEGPA" sheetId="7" r:id="rId3"/>
    <sheet name="struct et DHG r2022 lgt lpo" sheetId="8" r:id="rId4"/>
    <sheet name="Struct et DGH r2022 lp et sep" sheetId="2" r:id="rId5"/>
  </sheets>
  <definedNames>
    <definedName name="_xlnm.Print_Area" localSheetId="2">'DGH et structures r2022 SEGPA'!$A$1:$M$26</definedName>
  </definedNames>
  <calcPr calcId="125725"/>
</workbook>
</file>

<file path=xl/calcChain.xml><?xml version="1.0" encoding="utf-8"?>
<calcChain xmlns="http://schemas.openxmlformats.org/spreadsheetml/2006/main">
  <c r="T28" i="8"/>
  <c r="S28"/>
  <c r="R28"/>
  <c r="Q28"/>
  <c r="J28"/>
  <c r="I28"/>
  <c r="H28"/>
  <c r="E28"/>
  <c r="D28"/>
  <c r="C28"/>
  <c r="P27"/>
  <c r="T27" s="1"/>
  <c r="K27"/>
  <c r="F27"/>
  <c r="P26"/>
  <c r="K26"/>
  <c r="F26"/>
  <c r="P25"/>
  <c r="N25"/>
  <c r="K25"/>
  <c r="F25"/>
  <c r="P24"/>
  <c r="O24"/>
  <c r="K24"/>
  <c r="F24"/>
  <c r="P23"/>
  <c r="N23"/>
  <c r="K23"/>
  <c r="F23"/>
  <c r="P22"/>
  <c r="O22"/>
  <c r="N22"/>
  <c r="K22"/>
  <c r="F22"/>
  <c r="T22" s="1"/>
  <c r="P21"/>
  <c r="O21"/>
  <c r="K21"/>
  <c r="F21"/>
  <c r="P20"/>
  <c r="N20"/>
  <c r="K20"/>
  <c r="F20"/>
  <c r="M20" s="1"/>
  <c r="P19"/>
  <c r="O19"/>
  <c r="K19"/>
  <c r="F19"/>
  <c r="P18"/>
  <c r="O18"/>
  <c r="K18"/>
  <c r="F18"/>
  <c r="P17"/>
  <c r="O17"/>
  <c r="K17"/>
  <c r="F17"/>
  <c r="M17" s="1"/>
  <c r="P16"/>
  <c r="N16"/>
  <c r="K16"/>
  <c r="F16"/>
  <c r="P15"/>
  <c r="T15" s="1"/>
  <c r="O15"/>
  <c r="K15"/>
  <c r="F15"/>
  <c r="P14"/>
  <c r="O14"/>
  <c r="K14"/>
  <c r="F14"/>
  <c r="M14" s="1"/>
  <c r="P13"/>
  <c r="N13"/>
  <c r="K13"/>
  <c r="F13"/>
  <c r="P12"/>
  <c r="O12"/>
  <c r="K12"/>
  <c r="F12"/>
  <c r="P11"/>
  <c r="N11" s="1"/>
  <c r="O11"/>
  <c r="K11"/>
  <c r="F11"/>
  <c r="M11" s="1"/>
  <c r="P10"/>
  <c r="N10" s="1"/>
  <c r="K10"/>
  <c r="F10"/>
  <c r="P9"/>
  <c r="N9" s="1"/>
  <c r="K9"/>
  <c r="F9"/>
  <c r="M9" s="1"/>
  <c r="P8"/>
  <c r="O8"/>
  <c r="K8"/>
  <c r="F8"/>
  <c r="N14" l="1"/>
  <c r="M15"/>
  <c r="M18"/>
  <c r="N12"/>
  <c r="N18"/>
  <c r="M16"/>
  <c r="M19"/>
  <c r="T24"/>
  <c r="T16"/>
  <c r="N19"/>
  <c r="T11"/>
  <c r="M26"/>
  <c r="T25"/>
  <c r="M12"/>
  <c r="T26"/>
  <c r="T23"/>
  <c r="M27"/>
  <c r="M10"/>
  <c r="N27"/>
  <c r="N8"/>
  <c r="T21"/>
  <c r="M25"/>
  <c r="N17"/>
  <c r="O28"/>
  <c r="T17"/>
  <c r="T12"/>
  <c r="M13"/>
  <c r="T20"/>
  <c r="M23"/>
  <c r="T9"/>
  <c r="T14"/>
  <c r="F28"/>
  <c r="M21"/>
  <c r="T13"/>
  <c r="K28"/>
  <c r="T18"/>
  <c r="N21"/>
  <c r="M24"/>
  <c r="T8"/>
  <c r="T19"/>
  <c r="P28"/>
  <c r="M22"/>
  <c r="N15"/>
  <c r="N24"/>
  <c r="M8"/>
  <c r="N26"/>
  <c r="T10"/>
  <c r="D56" i="5"/>
  <c r="M28" i="8" l="1"/>
  <c r="N28"/>
  <c r="O20" i="2" l="1"/>
  <c r="O16"/>
  <c r="O14"/>
  <c r="P24"/>
  <c r="N24" s="1"/>
  <c r="P23"/>
  <c r="N23" s="1"/>
  <c r="N11"/>
  <c r="O17"/>
  <c r="P17"/>
  <c r="O15"/>
  <c r="P14"/>
  <c r="P16"/>
  <c r="O25"/>
  <c r="N25" s="1"/>
  <c r="O21"/>
  <c r="P21"/>
  <c r="O22"/>
  <c r="P22"/>
  <c r="N18"/>
  <c r="O13"/>
  <c r="O10"/>
  <c r="P10"/>
  <c r="N12"/>
  <c r="N13"/>
  <c r="N15"/>
  <c r="N19"/>
  <c r="N20"/>
  <c r="N22" l="1"/>
  <c r="N10"/>
  <c r="N17"/>
  <c r="N14"/>
  <c r="N21"/>
  <c r="N16"/>
  <c r="L11" l="1"/>
  <c r="L12"/>
  <c r="L13"/>
  <c r="L14"/>
  <c r="L15"/>
  <c r="L16"/>
  <c r="L17"/>
  <c r="L18"/>
  <c r="L19"/>
  <c r="L20"/>
  <c r="L21"/>
  <c r="L22"/>
  <c r="L23"/>
  <c r="L24"/>
  <c r="L25"/>
  <c r="L10"/>
  <c r="F19"/>
  <c r="G19" s="1"/>
  <c r="G11"/>
  <c r="M11" s="1"/>
  <c r="G12"/>
  <c r="M12" s="1"/>
  <c r="G13"/>
  <c r="M13" s="1"/>
  <c r="G14"/>
  <c r="G15"/>
  <c r="G16"/>
  <c r="G17"/>
  <c r="G18"/>
  <c r="G20"/>
  <c r="G21"/>
  <c r="G22"/>
  <c r="G23"/>
  <c r="M23" s="1"/>
  <c r="G24"/>
  <c r="M24" s="1"/>
  <c r="G25"/>
  <c r="M25" s="1"/>
  <c r="G10"/>
  <c r="M17" l="1"/>
  <c r="M16"/>
  <c r="M15"/>
  <c r="M20"/>
  <c r="M22"/>
  <c r="M21"/>
  <c r="M18"/>
  <c r="M19"/>
  <c r="M10"/>
  <c r="M14"/>
  <c r="L9" i="7"/>
  <c r="L10"/>
  <c r="L11"/>
  <c r="L12"/>
  <c r="L13"/>
  <c r="L15"/>
  <c r="L16"/>
  <c r="L17"/>
  <c r="L18"/>
  <c r="L19"/>
  <c r="L20"/>
  <c r="L21"/>
  <c r="L22"/>
  <c r="L23"/>
  <c r="L24"/>
  <c r="L8"/>
  <c r="E10" i="5" l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J56"/>
  <c r="E25" i="7"/>
  <c r="F25"/>
  <c r="G25"/>
  <c r="I25"/>
  <c r="D25"/>
  <c r="L25" s="1"/>
  <c r="H24" l="1"/>
  <c r="J24" s="1"/>
  <c r="M24" s="1"/>
  <c r="H23"/>
  <c r="J23" s="1"/>
  <c r="M23" s="1"/>
  <c r="H22"/>
  <c r="J22" s="1"/>
  <c r="M22" s="1"/>
  <c r="H21"/>
  <c r="J21" s="1"/>
  <c r="M21" s="1"/>
  <c r="H20"/>
  <c r="J20" s="1"/>
  <c r="M20" s="1"/>
  <c r="H19"/>
  <c r="J19" s="1"/>
  <c r="M19" s="1"/>
  <c r="H18"/>
  <c r="J18" s="1"/>
  <c r="M18" s="1"/>
  <c r="H17"/>
  <c r="J17" s="1"/>
  <c r="M17" s="1"/>
  <c r="H16"/>
  <c r="J16" s="1"/>
  <c r="M16" s="1"/>
  <c r="H15"/>
  <c r="J15" s="1"/>
  <c r="M15" s="1"/>
  <c r="H14"/>
  <c r="J14" s="1"/>
  <c r="H13"/>
  <c r="J13" s="1"/>
  <c r="M13" s="1"/>
  <c r="H12"/>
  <c r="J12" s="1"/>
  <c r="M12" s="1"/>
  <c r="H11"/>
  <c r="H10"/>
  <c r="J10" s="1"/>
  <c r="M10" s="1"/>
  <c r="H9"/>
  <c r="J9" s="1"/>
  <c r="M9" s="1"/>
  <c r="H8"/>
  <c r="O53" i="6"/>
  <c r="N53"/>
  <c r="M53"/>
  <c r="L53"/>
  <c r="P50"/>
  <c r="P49"/>
  <c r="P48"/>
  <c r="P44"/>
  <c r="P37"/>
  <c r="P35"/>
  <c r="R53"/>
  <c r="P27"/>
  <c r="P25"/>
  <c r="P18"/>
  <c r="P17"/>
  <c r="P15"/>
  <c r="P12"/>
  <c r="Q12"/>
  <c r="Q11"/>
  <c r="Q10"/>
  <c r="I56" i="5"/>
  <c r="C56"/>
  <c r="E9"/>
  <c r="E56" s="1"/>
  <c r="H17" l="1"/>
  <c r="H27"/>
  <c r="H37"/>
  <c r="H39"/>
  <c r="H19"/>
  <c r="T18" i="6"/>
  <c r="H20" i="5"/>
  <c r="H29"/>
  <c r="H46"/>
  <c r="H50"/>
  <c r="H51"/>
  <c r="T12" i="6"/>
  <c r="H14" i="5"/>
  <c r="H52"/>
  <c r="J11" i="7"/>
  <c r="H25"/>
  <c r="Q26" i="6"/>
  <c r="Q38"/>
  <c r="P30"/>
  <c r="P43"/>
  <c r="Q27"/>
  <c r="T27" s="1"/>
  <c r="P39"/>
  <c r="P9"/>
  <c r="Q49"/>
  <c r="T49" s="1"/>
  <c r="Q15"/>
  <c r="T15" s="1"/>
  <c r="Q17"/>
  <c r="T17" s="1"/>
  <c r="Q43"/>
  <c r="Q50"/>
  <c r="T50" s="1"/>
  <c r="K53"/>
  <c r="Q9"/>
  <c r="P16"/>
  <c r="Q18"/>
  <c r="Q31"/>
  <c r="Q32"/>
  <c r="Q33"/>
  <c r="Q34"/>
  <c r="Q35"/>
  <c r="T35" s="1"/>
  <c r="P40"/>
  <c r="P41"/>
  <c r="P42"/>
  <c r="Q44"/>
  <c r="T44" s="1"/>
  <c r="Q51"/>
  <c r="Q52"/>
  <c r="P8"/>
  <c r="Q25"/>
  <c r="T25" s="1"/>
  <c r="Q37"/>
  <c r="T37" s="1"/>
  <c r="Q40"/>
  <c r="Q41"/>
  <c r="Q42"/>
  <c r="Q48"/>
  <c r="T48" s="1"/>
  <c r="J8" i="7"/>
  <c r="M8" s="1"/>
  <c r="Q7" i="6"/>
  <c r="I53"/>
  <c r="Q13"/>
  <c r="Q14"/>
  <c r="Q19"/>
  <c r="Q20"/>
  <c r="Q21"/>
  <c r="Q22"/>
  <c r="Q23"/>
  <c r="Q24"/>
  <c r="Q28"/>
  <c r="Q29"/>
  <c r="Q36"/>
  <c r="Q45"/>
  <c r="Q46"/>
  <c r="Q47"/>
  <c r="P10"/>
  <c r="P11"/>
  <c r="P13"/>
  <c r="P19"/>
  <c r="P20"/>
  <c r="P21"/>
  <c r="P22"/>
  <c r="P23"/>
  <c r="P24"/>
  <c r="P26"/>
  <c r="P28"/>
  <c r="P29"/>
  <c r="P31"/>
  <c r="P32"/>
  <c r="P33"/>
  <c r="P34"/>
  <c r="P36"/>
  <c r="P38"/>
  <c r="P45"/>
  <c r="P46"/>
  <c r="P47"/>
  <c r="P51"/>
  <c r="P52"/>
  <c r="D53"/>
  <c r="F53"/>
  <c r="H53"/>
  <c r="J53"/>
  <c r="P7"/>
  <c r="P14"/>
  <c r="Q8"/>
  <c r="Q16"/>
  <c r="Q30"/>
  <c r="Q39"/>
  <c r="U50" l="1"/>
  <c r="F17" i="5"/>
  <c r="F46"/>
  <c r="F27"/>
  <c r="F50"/>
  <c r="F14"/>
  <c r="F51"/>
  <c r="F37"/>
  <c r="F29"/>
  <c r="T21" i="6"/>
  <c r="H23" i="5"/>
  <c r="T20" i="6"/>
  <c r="H22" i="5"/>
  <c r="U20" i="6"/>
  <c r="H41" i="5"/>
  <c r="T39" i="6"/>
  <c r="H9" i="5"/>
  <c r="T7" i="6"/>
  <c r="H35" i="5"/>
  <c r="T33" i="6"/>
  <c r="T32"/>
  <c r="H34" i="5"/>
  <c r="H18"/>
  <c r="T16" i="6"/>
  <c r="F19" i="5"/>
  <c r="T10" i="6"/>
  <c r="H12" i="5"/>
  <c r="F39"/>
  <c r="H30"/>
  <c r="T28" i="6"/>
  <c r="H44" i="5"/>
  <c r="T42" i="6"/>
  <c r="T26"/>
  <c r="H28" i="5"/>
  <c r="H49"/>
  <c r="T47" i="6"/>
  <c r="T24"/>
  <c r="H26" i="5"/>
  <c r="F20"/>
  <c r="T40" i="6"/>
  <c r="H42" i="5"/>
  <c r="H40"/>
  <c r="T38" i="6"/>
  <c r="H38" i="5"/>
  <c r="T36" i="6"/>
  <c r="H36" i="5"/>
  <c r="T34" i="6"/>
  <c r="T13"/>
  <c r="H15" i="5"/>
  <c r="T43" i="6"/>
  <c r="H45" i="5"/>
  <c r="T31" i="6"/>
  <c r="H33" i="5"/>
  <c r="H10"/>
  <c r="T8" i="6"/>
  <c r="H31" i="5"/>
  <c r="T29" i="6"/>
  <c r="H54" i="5"/>
  <c r="T52" i="6"/>
  <c r="T51"/>
  <c r="H53" i="5"/>
  <c r="T41" i="6"/>
  <c r="H43" i="5"/>
  <c r="T46" i="6"/>
  <c r="H48" i="5"/>
  <c r="H16"/>
  <c r="T14" i="6"/>
  <c r="T19"/>
  <c r="H21" i="5"/>
  <c r="H13"/>
  <c r="T11" i="6"/>
  <c r="T30"/>
  <c r="H32" i="5"/>
  <c r="H25"/>
  <c r="T23" i="6"/>
  <c r="H47" i="5"/>
  <c r="T45" i="6"/>
  <c r="H24" i="5"/>
  <c r="T22" i="6"/>
  <c r="H11" i="5"/>
  <c r="T9" i="6"/>
  <c r="F52" i="5"/>
  <c r="M11" i="7"/>
  <c r="J25"/>
  <c r="M25" s="1"/>
  <c r="G53" i="6"/>
  <c r="P53"/>
  <c r="E53"/>
  <c r="H56" i="5" l="1"/>
  <c r="F11"/>
  <c r="F31"/>
  <c r="F44"/>
  <c r="F24"/>
  <c r="F10"/>
  <c r="F48"/>
  <c r="F42"/>
  <c r="F30"/>
  <c r="F9"/>
  <c r="F47"/>
  <c r="F26"/>
  <c r="F32"/>
  <c r="F22"/>
  <c r="F21"/>
  <c r="F38"/>
  <c r="F35"/>
  <c r="F16"/>
  <c r="F40"/>
  <c r="F33"/>
  <c r="F43"/>
  <c r="F45"/>
  <c r="F12"/>
  <c r="F41"/>
  <c r="F25"/>
  <c r="F53"/>
  <c r="F15"/>
  <c r="F49"/>
  <c r="F18"/>
  <c r="F23"/>
  <c r="F13"/>
  <c r="F54"/>
  <c r="F36"/>
  <c r="F28"/>
  <c r="F34"/>
  <c r="Q53" i="6"/>
  <c r="T53" s="1"/>
  <c r="F56" i="5" l="1"/>
  <c r="N26" i="2"/>
  <c r="O26"/>
  <c r="P26"/>
  <c r="J26"/>
  <c r="K26"/>
  <c r="I26"/>
  <c r="H26"/>
  <c r="L26" l="1"/>
  <c r="Q17" l="1"/>
  <c r="E26"/>
  <c r="F26"/>
  <c r="D26"/>
  <c r="C26"/>
  <c r="Q21" l="1"/>
  <c r="Q13"/>
  <c r="Q19"/>
  <c r="Q25"/>
  <c r="Q15"/>
  <c r="Q23"/>
  <c r="Q11"/>
  <c r="Q24"/>
  <c r="Q20"/>
  <c r="Q16"/>
  <c r="Q12"/>
  <c r="Q22"/>
  <c r="Q18"/>
  <c r="Q14"/>
  <c r="Q10" l="1"/>
  <c r="G26"/>
  <c r="Q26" s="1"/>
  <c r="M26" l="1"/>
</calcChain>
</file>

<file path=xl/sharedStrings.xml><?xml version="1.0" encoding="utf-8"?>
<sst xmlns="http://schemas.openxmlformats.org/spreadsheetml/2006/main" count="366" uniqueCount="281">
  <si>
    <t>EFFECTIFS</t>
  </si>
  <si>
    <t>ETABLISSEMENTS</t>
  </si>
  <si>
    <t>N°IMM.</t>
  </si>
  <si>
    <t>effectifs prévus 2nd cycle long</t>
  </si>
  <si>
    <t>effectifs prévus post-bac</t>
  </si>
  <si>
    <t>effectifs prévus autres</t>
  </si>
  <si>
    <t>effectifs prévus TOTAL</t>
  </si>
  <si>
    <t>DGH 2nd cycle long</t>
  </si>
  <si>
    <t>DGH Post-Bac</t>
  </si>
  <si>
    <t>TOTAL DGH</t>
  </si>
  <si>
    <t>HP</t>
  </si>
  <si>
    <t>HSA</t>
  </si>
  <si>
    <t>dont HSA pondération</t>
  </si>
  <si>
    <t>indicateur H / E</t>
  </si>
  <si>
    <t xml:space="preserve">LGT    BAIMBRIDGE                    </t>
  </si>
  <si>
    <t>9710003B</t>
  </si>
  <si>
    <t xml:space="preserve">LGT    JARDIN D'ESSAI                </t>
  </si>
  <si>
    <t>9710923B</t>
  </si>
  <si>
    <t>LGT    FELIX PROTO</t>
  </si>
  <si>
    <t>9710921Z</t>
  </si>
  <si>
    <t xml:space="preserve">LPO    CHEVALIER SAINT GEORGES    </t>
  </si>
  <si>
    <t>9711046K</t>
  </si>
  <si>
    <t xml:space="preserve">LPO    CHARLES COEFFIN               </t>
  </si>
  <si>
    <t>9711032V</t>
  </si>
  <si>
    <t xml:space="preserve">LGT    YVES LEBORGNE                     </t>
  </si>
  <si>
    <t>9710922A</t>
  </si>
  <si>
    <t xml:space="preserve">LGT    FAUSTIN FLERET                </t>
  </si>
  <si>
    <t>9710774P</t>
  </si>
  <si>
    <t xml:space="preserve">LGT    DES DROITS DE L'HOMME         </t>
  </si>
  <si>
    <t>9710882G</t>
  </si>
  <si>
    <t>LGT    SONNY RUPAIRE</t>
  </si>
  <si>
    <t>9710940V</t>
  </si>
  <si>
    <t xml:space="preserve">LGT    GERVILLE REACHE               </t>
  </si>
  <si>
    <t>9710002A</t>
  </si>
  <si>
    <t>LPO CARNOT</t>
  </si>
  <si>
    <t>9710722H</t>
  </si>
  <si>
    <t>LPO  GEORGES RAOUL NICOLO</t>
  </si>
  <si>
    <t>9710884J</t>
  </si>
  <si>
    <t xml:space="preserve">LGT    ROBERT WEINUM                  </t>
  </si>
  <si>
    <t>LPO    HYACINTHE BASTARAUD</t>
  </si>
  <si>
    <t>9711012Y</t>
  </si>
  <si>
    <t xml:space="preserve">LPO    POINTE NOIRE                  </t>
  </si>
  <si>
    <t>9711033W</t>
  </si>
  <si>
    <t xml:space="preserve">LPO    NORD GRANDE TERRE             </t>
  </si>
  <si>
    <t>9711082Z</t>
  </si>
  <si>
    <t>CLG A VOCATION SPORTIVE</t>
  </si>
  <si>
    <t>LPO    Hotelier du Gosier (n.c)</t>
  </si>
  <si>
    <t>9711066G</t>
  </si>
  <si>
    <t>SEGT Paul LACAVE</t>
  </si>
  <si>
    <t>9711017D</t>
  </si>
  <si>
    <t>TOTAL</t>
  </si>
  <si>
    <t>Effectifs CAP</t>
  </si>
  <si>
    <t>Effectifs BAC PRO</t>
  </si>
  <si>
    <t xml:space="preserve">Effectifs AUTRES     </t>
  </si>
  <si>
    <t>Effectifs post-bac</t>
  </si>
  <si>
    <t>Eff. Prévus TOTAL</t>
  </si>
  <si>
    <t xml:space="preserve">DGH </t>
  </si>
  <si>
    <t>indicateur       H/E</t>
  </si>
  <si>
    <t>9710049B</t>
  </si>
  <si>
    <t xml:space="preserve">SEP CH. ST GEORGES </t>
  </si>
  <si>
    <t>9710052E</t>
  </si>
  <si>
    <t xml:space="preserve">LP DELGRES </t>
  </si>
  <si>
    <t>9710090W</t>
  </si>
  <si>
    <t>LP BERTENE JUMINER</t>
  </si>
  <si>
    <t>9710418C</t>
  </si>
  <si>
    <t>LP PAUL LACAVE</t>
  </si>
  <si>
    <t>9710588M</t>
  </si>
  <si>
    <t>9710590P</t>
  </si>
  <si>
    <t>SEP H BASTARAUD</t>
  </si>
  <si>
    <t>9710690Y</t>
  </si>
  <si>
    <t xml:space="preserve">LP DUCHARMOY </t>
  </si>
  <si>
    <t>9710709U</t>
  </si>
  <si>
    <t>LP GERTY ARCHIMEDE</t>
  </si>
  <si>
    <t>9710746J</t>
  </si>
  <si>
    <t>LP ARRON</t>
  </si>
  <si>
    <t>9711044H</t>
  </si>
  <si>
    <t xml:space="preserve">SEP COEFFIN </t>
  </si>
  <si>
    <t>9711056W</t>
  </si>
  <si>
    <t>SEP POINTE NOIRE</t>
  </si>
  <si>
    <t>9711061B</t>
  </si>
  <si>
    <t>SEP BOUILLANTE</t>
  </si>
  <si>
    <t>9711067H</t>
  </si>
  <si>
    <t>SEP GOSIER</t>
  </si>
  <si>
    <t>9711083A</t>
  </si>
  <si>
    <t>SEP PORT-LOUIS</t>
  </si>
  <si>
    <t>9711193V</t>
  </si>
  <si>
    <t>SEP RAOUL NICOLO</t>
  </si>
  <si>
    <t>STRUCTURES</t>
  </si>
  <si>
    <t>Structures 2nd cycle long</t>
  </si>
  <si>
    <t>Structures post-bac</t>
  </si>
  <si>
    <t>Structures autres</t>
  </si>
  <si>
    <t>Structures TOTAL</t>
  </si>
  <si>
    <t>9711252J</t>
  </si>
  <si>
    <t>Microlycée</t>
  </si>
  <si>
    <t>9711253K</t>
  </si>
  <si>
    <t>9711205H</t>
  </si>
  <si>
    <t>Structures CAP</t>
  </si>
  <si>
    <t>Sutructuress BAC PRO</t>
  </si>
  <si>
    <t xml:space="preserve">Structures AUTRES     </t>
  </si>
  <si>
    <t>Etablissement</t>
  </si>
  <si>
    <t>DHG</t>
  </si>
  <si>
    <t>H/E</t>
  </si>
  <si>
    <t>GENERAL DE GAULLE</t>
  </si>
  <si>
    <t>FELIX EBOUE</t>
  </si>
  <si>
    <t>EUGENE YSSAP</t>
  </si>
  <si>
    <t>BEBEL</t>
  </si>
  <si>
    <t>MAXIMILIEN VRECORD</t>
  </si>
  <si>
    <t>ALEXANDRE MACAL</t>
  </si>
  <si>
    <t>RICHARD SAMUEL</t>
  </si>
  <si>
    <t>MIREILLE CHOISY</t>
  </si>
  <si>
    <t>REMY NAINSOUTA</t>
  </si>
  <si>
    <t>ALBERT BACLET</t>
  </si>
  <si>
    <t>EDMOND BAMBUCK</t>
  </si>
  <si>
    <t>MAURICE SATINEAU</t>
  </si>
  <si>
    <t>SUZE ANGELY</t>
  </si>
  <si>
    <t>JULES MICHELET</t>
  </si>
  <si>
    <t>APPEL DU 18 JUIN</t>
  </si>
  <si>
    <t>RAIZET</t>
  </si>
  <si>
    <t>JOSEPH PITAT</t>
  </si>
  <si>
    <t>PORT LOUIS</t>
  </si>
  <si>
    <t>FELIX ALADIN FLEMIN</t>
  </si>
  <si>
    <t>MATELIANE</t>
  </si>
  <si>
    <t>OLYMPE RAME DECORBIN</t>
  </si>
  <si>
    <t>LES ROCHES GRAVEES</t>
  </si>
  <si>
    <t>SAINT-JOHN PERSE</t>
  </si>
  <si>
    <t>SOUALIGA</t>
  </si>
  <si>
    <t>BAIE-MAHAULT 2</t>
  </si>
  <si>
    <t>ARCHIPEL DES SAINTES</t>
  </si>
  <si>
    <t>CITE SCO D'EXCELLENCE SPORTIVE</t>
  </si>
  <si>
    <t>GUENETTE</t>
  </si>
  <si>
    <t>SYLVIANE TELCHID</t>
  </si>
  <si>
    <t>TOTAL ACADEMIQUE</t>
  </si>
  <si>
    <t>Numéro d'établissement</t>
  </si>
  <si>
    <t xml:space="preserve">Groupe </t>
  </si>
  <si>
    <t>Dispositif ULIS</t>
  </si>
  <si>
    <t>9710015P</t>
  </si>
  <si>
    <t>9710016R</t>
  </si>
  <si>
    <t>9710021W</t>
  </si>
  <si>
    <t>9710022X</t>
  </si>
  <si>
    <t>9710023Y</t>
  </si>
  <si>
    <t>9710025A</t>
  </si>
  <si>
    <t>9710026B</t>
  </si>
  <si>
    <t>9710028D</t>
  </si>
  <si>
    <t>9710029E</t>
  </si>
  <si>
    <t>9710030F</t>
  </si>
  <si>
    <t>9710032H</t>
  </si>
  <si>
    <t>9710033J</t>
  </si>
  <si>
    <t>9710034K</t>
  </si>
  <si>
    <t>9710035L</t>
  </si>
  <si>
    <t>9710036M</t>
  </si>
  <si>
    <t>9710037N</t>
  </si>
  <si>
    <t>9710039R</t>
  </si>
  <si>
    <t>9710040S</t>
  </si>
  <si>
    <t>9710041T</t>
  </si>
  <si>
    <t>9710045X</t>
  </si>
  <si>
    <t>9710072B</t>
  </si>
  <si>
    <t>9710073C</t>
  </si>
  <si>
    <t>9710086S</t>
  </si>
  <si>
    <t>9710403L</t>
  </si>
  <si>
    <t>9710405N</t>
  </si>
  <si>
    <t>9710406P</t>
  </si>
  <si>
    <t>9710482X</t>
  </si>
  <si>
    <t>9710584H</t>
  </si>
  <si>
    <t>9710643X</t>
  </si>
  <si>
    <t>9710644Y</t>
  </si>
  <si>
    <t>9710661S</t>
  </si>
  <si>
    <t>9710686U</t>
  </si>
  <si>
    <t>9710687V</t>
  </si>
  <si>
    <t>9710707S</t>
  </si>
  <si>
    <t>9710710V</t>
  </si>
  <si>
    <t>9710826W</t>
  </si>
  <si>
    <t>9710926E</t>
  </si>
  <si>
    <t>9710938T</t>
  </si>
  <si>
    <t>9711023K</t>
  </si>
  <si>
    <t>9711086D</t>
  </si>
  <si>
    <t>9711087E</t>
  </si>
  <si>
    <t>9711155D</t>
  </si>
  <si>
    <t>9711181G</t>
  </si>
  <si>
    <t>9711218X</t>
  </si>
  <si>
    <t>9711231L</t>
  </si>
  <si>
    <t>VILLE</t>
  </si>
  <si>
    <t>RNE</t>
  </si>
  <si>
    <t>DIVISIONS</t>
  </si>
  <si>
    <t>HEURES ENSEIGNEMENT GENERAL</t>
  </si>
  <si>
    <t>HEURES ENSEIGNEMENT PROFESSIONNEL</t>
  </si>
  <si>
    <t>LE MOULE</t>
  </si>
  <si>
    <t>9710613P</t>
  </si>
  <si>
    <t>PETIT-BOURG</t>
  </si>
  <si>
    <t>9710716B</t>
  </si>
  <si>
    <t>SAINTE-ANNE</t>
  </si>
  <si>
    <t>9710719E</t>
  </si>
  <si>
    <t>SAINT-MARTIN</t>
  </si>
  <si>
    <t>9710720F</t>
  </si>
  <si>
    <t>DU MONT DES ACCORDS</t>
  </si>
  <si>
    <t>SAINTE-ROSE</t>
  </si>
  <si>
    <t>9710721G</t>
  </si>
  <si>
    <t>BOUILLANTE</t>
  </si>
  <si>
    <t>9710715A</t>
  </si>
  <si>
    <t>FONTAINES BOUILLANTES</t>
  </si>
  <si>
    <t>SAINT-CLAUDE</t>
  </si>
  <si>
    <t>9710686W</t>
  </si>
  <si>
    <t xml:space="preserve">MG SAINT-LOUIS </t>
  </si>
  <si>
    <t>9710867R</t>
  </si>
  <si>
    <t>LE GOSIER</t>
  </si>
  <si>
    <t>9710883H</t>
  </si>
  <si>
    <t>LE LAMENTIN</t>
  </si>
  <si>
    <t>9710612N</t>
  </si>
  <si>
    <t>MORNE-A-L'EAU</t>
  </si>
  <si>
    <t>9710419D</t>
  </si>
  <si>
    <t>LES ABYMES</t>
  </si>
  <si>
    <t>9710422G</t>
  </si>
  <si>
    <t>CAPESTERRE-BELLE-EAU</t>
  </si>
  <si>
    <t>9710421F</t>
  </si>
  <si>
    <t>GERMAIN SAINT-RUF</t>
  </si>
  <si>
    <t>BASSE-TERRE</t>
  </si>
  <si>
    <t>9710611M</t>
  </si>
  <si>
    <t>POINTE-A-PITRE</t>
  </si>
  <si>
    <t>9710717C</t>
  </si>
  <si>
    <t>FRONT DE MER</t>
  </si>
  <si>
    <t>9710718D</t>
  </si>
  <si>
    <t>ALEXANDRE ISAAC</t>
  </si>
  <si>
    <t>9711299K</t>
  </si>
  <si>
    <t>E/D</t>
  </si>
  <si>
    <t>Struct. Prévues TOTAL</t>
  </si>
  <si>
    <t>Total Effectif R2022</t>
  </si>
  <si>
    <t>STRUCTURES R2022 CLG</t>
  </si>
  <si>
    <t>ROCHE GRAVEE DE MOHO</t>
  </si>
  <si>
    <t>FLORETTE MORAND</t>
  </si>
  <si>
    <t>DU MONT DES ACCORDS REP</t>
  </si>
  <si>
    <t>FERNAND BALIN REP</t>
  </si>
  <si>
    <t>FONTAINES BOUILLANTES REP</t>
  </si>
  <si>
    <t>COURBARIL REP</t>
  </si>
  <si>
    <t>NELSON MANDELA REP</t>
  </si>
  <si>
    <t>MARYSE CONDE REP</t>
  </si>
  <si>
    <t>JEAN JAURES REP+</t>
  </si>
  <si>
    <t>SADI CARNOT REP</t>
  </si>
  <si>
    <t>GERMAIN SAINT-RUF REP</t>
  </si>
  <si>
    <t>NESTOR DE KERMADEC REP+</t>
  </si>
  <si>
    <t>FRONT DE MER REP</t>
  </si>
  <si>
    <t>ALEXANDRE ISAAC REP</t>
  </si>
  <si>
    <t>GRAND BOURG / GASTON CALMET</t>
  </si>
  <si>
    <t>AURÉLIE LAMBOURDE REP</t>
  </si>
  <si>
    <t>BOIS RADA REP</t>
  </si>
  <si>
    <t>ROCHES GRAVEES DE MOHO REP+</t>
  </si>
  <si>
    <t>Postes définitifs hors ULIS</t>
  </si>
  <si>
    <t>Postes définitifs avec ULIS</t>
  </si>
  <si>
    <t>DGH R2022 CLG</t>
  </si>
  <si>
    <t>STRUCTURES ET DGH R2022 SEGPA</t>
  </si>
  <si>
    <t xml:space="preserve">Part collège uniquement </t>
  </si>
  <si>
    <t>indicateurE/D</t>
  </si>
  <si>
    <t>Indicateur E/D</t>
  </si>
  <si>
    <t>Indicateur H/E</t>
  </si>
  <si>
    <t>LP DANIELLA JEFFREY</t>
  </si>
  <si>
    <t>indicateur       E/D</t>
  </si>
  <si>
    <t>DOTATIONS R 2022LP</t>
  </si>
  <si>
    <t>CLG MIREILLE CHOISY</t>
  </si>
  <si>
    <t>DOTATIONS R2022 LYCEES GT</t>
  </si>
  <si>
    <t>document n° 2-C</t>
  </si>
  <si>
    <t>document n°2 - A</t>
  </si>
  <si>
    <t>document n°2 - B</t>
  </si>
  <si>
    <t>document n° 2-D</t>
  </si>
  <si>
    <r>
      <t xml:space="preserve">nbre d'élèves </t>
    </r>
    <r>
      <rPr>
        <b/>
        <i/>
        <sz val="12"/>
        <color indexed="8"/>
        <rFont val="Calibri"/>
        <family val="2"/>
      </rPr>
      <t>hors segpa</t>
    </r>
  </si>
  <si>
    <t>Prévision R2022            Divsions 6e</t>
  </si>
  <si>
    <t>Prévision R2022 Divisions 5e</t>
  </si>
  <si>
    <t>R2022 Effectifs 5e</t>
  </si>
  <si>
    <t>R2022 Effectifs 6e</t>
  </si>
  <si>
    <t>R2022 Effectifs 4e</t>
  </si>
  <si>
    <t>Prévision R2022 Divisions 4e</t>
  </si>
  <si>
    <t>R2022 Effectifs 3e</t>
  </si>
  <si>
    <t>Prévision R2022 Divisions 3e</t>
  </si>
  <si>
    <t>R2022 Effectifs Lycée</t>
  </si>
  <si>
    <t>Prévision R2022 Division 2nde</t>
  </si>
  <si>
    <t>Prévision R2022 Division 1ère</t>
  </si>
  <si>
    <t>Prévision R2022 Division Terminale</t>
  </si>
  <si>
    <t>Comité technique académique - Séance du 26 janvier 2022</t>
  </si>
  <si>
    <t>Total Divisions R2022</t>
  </si>
  <si>
    <t>DBM</t>
  </si>
  <si>
    <t>TOTAL  EFFECTIF</t>
  </si>
  <si>
    <t>STRUCTURES ET DGH R2022 LYCEES LP ET SEP</t>
  </si>
  <si>
    <t>document n° 2-E</t>
  </si>
  <si>
    <t>STRUCTURES ET DGH R2022 LYCEES LGT ET LPO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</si>
</sst>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0.0"/>
    <numFmt numFmtId="165" formatCode="_-* #,##0.00\ [$€]_-;\-* #,##0.00\ [$€]_-;_-* \-??\ [$€]_-;_-@_-"/>
    <numFmt numFmtId="166" formatCode="_-* #,##0\ _€_-;\-* #,##0\ _€_-;_-* &quot;-&quot;??\ _€_-;_-@_-"/>
    <numFmt numFmtId="167" formatCode="_-* #,##0.0\ _€_-;\-* #,##0.0\ _€_-;_-* &quot;-&quot;??\ _€_-;_-@_-"/>
    <numFmt numFmtId="168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ahoma"/>
      <family val="2"/>
    </font>
    <font>
      <sz val="8"/>
      <color theme="1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15" fillId="0" borderId="0"/>
  </cellStyleXfs>
  <cellXfs count="164">
    <xf numFmtId="0" fontId="0" fillId="0" borderId="0" xfId="0"/>
    <xf numFmtId="0" fontId="3" fillId="0" borderId="0" xfId="2" applyFont="1"/>
    <xf numFmtId="0" fontId="4" fillId="0" borderId="0" xfId="2" applyFont="1"/>
    <xf numFmtId="0" fontId="8" fillId="0" borderId="4" xfId="4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/>
    </xf>
    <xf numFmtId="1" fontId="10" fillId="0" borderId="4" xfId="4" applyNumberFormat="1" applyFont="1" applyFill="1" applyBorder="1" applyAlignment="1">
      <alignment horizontal="center"/>
    </xf>
    <xf numFmtId="1" fontId="8" fillId="0" borderId="4" xfId="4" applyNumberFormat="1" applyFont="1" applyFill="1" applyBorder="1" applyAlignment="1">
      <alignment horizontal="center"/>
    </xf>
    <xf numFmtId="0" fontId="6" fillId="0" borderId="0" xfId="0" applyFont="1"/>
    <xf numFmtId="0" fontId="0" fillId="0" borderId="4" xfId="0" applyBorder="1"/>
    <xf numFmtId="0" fontId="0" fillId="0" borderId="4" xfId="0" applyFill="1" applyBorder="1"/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5" xfId="0" applyFill="1" applyBorder="1"/>
    <xf numFmtId="0" fontId="0" fillId="0" borderId="0" xfId="0" applyBorder="1"/>
    <xf numFmtId="0" fontId="13" fillId="0" borderId="0" xfId="0" applyFont="1"/>
    <xf numFmtId="168" fontId="0" fillId="0" borderId="0" xfId="5" applyNumberFormat="1" applyFont="1"/>
    <xf numFmtId="164" fontId="0" fillId="0" borderId="9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5" xfId="0" applyBorder="1"/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" fontId="0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/>
    <xf numFmtId="0" fontId="0" fillId="0" borderId="0" xfId="0"/>
    <xf numFmtId="0" fontId="0" fillId="0" borderId="0" xfId="0" applyFill="1"/>
    <xf numFmtId="0" fontId="6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/>
    </xf>
    <xf numFmtId="0" fontId="6" fillId="0" borderId="0" xfId="0" applyFont="1" applyFill="1" applyBorder="1"/>
    <xf numFmtId="1" fontId="14" fillId="0" borderId="0" xfId="0" applyNumberFormat="1" applyFont="1" applyFill="1" applyBorder="1"/>
    <xf numFmtId="1" fontId="11" fillId="3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6" fontId="4" fillId="0" borderId="6" xfId="2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/>
    <xf numFmtId="2" fontId="4" fillId="0" borderId="4" xfId="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0" fontId="4" fillId="0" borderId="11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/>
    <xf numFmtId="1" fontId="9" fillId="0" borderId="6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13" fillId="0" borderId="0" xfId="0" applyFont="1" applyBorder="1"/>
    <xf numFmtId="0" fontId="21" fillId="0" borderId="0" xfId="0" applyFont="1"/>
    <xf numFmtId="0" fontId="13" fillId="0" borderId="0" xfId="0" applyFont="1" applyAlignment="1">
      <alignment horizontal="center"/>
    </xf>
    <xf numFmtId="0" fontId="20" fillId="0" borderId="19" xfId="0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0" fontId="22" fillId="0" borderId="0" xfId="0" applyFont="1"/>
    <xf numFmtId="1" fontId="14" fillId="2" borderId="4" xfId="0" applyNumberFormat="1" applyFont="1" applyFill="1" applyBorder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/>
    <xf numFmtId="1" fontId="24" fillId="2" borderId="4" xfId="0" applyNumberFormat="1" applyFont="1" applyFill="1" applyBorder="1" applyAlignment="1">
      <alignment horizontal="center"/>
    </xf>
    <xf numFmtId="2" fontId="24" fillId="2" borderId="4" xfId="0" applyNumberFormat="1" applyFont="1" applyFill="1" applyBorder="1" applyAlignment="1">
      <alignment horizontal="center"/>
    </xf>
    <xf numFmtId="3" fontId="23" fillId="0" borderId="4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right" vertical="center"/>
    </xf>
    <xf numFmtId="3" fontId="26" fillId="0" borderId="0" xfId="0" applyNumberFormat="1" applyFont="1"/>
    <xf numFmtId="3" fontId="23" fillId="0" borderId="6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" fontId="24" fillId="0" borderId="4" xfId="4" applyNumberFormat="1" applyFont="1" applyFill="1" applyBorder="1" applyAlignment="1">
      <alignment horizontal="center"/>
    </xf>
    <xf numFmtId="0" fontId="1" fillId="0" borderId="0" xfId="0" applyFont="1"/>
    <xf numFmtId="2" fontId="24" fillId="0" borderId="4" xfId="4" applyNumberFormat="1" applyFont="1" applyFill="1" applyBorder="1" applyAlignment="1">
      <alignment horizontal="center"/>
    </xf>
    <xf numFmtId="0" fontId="4" fillId="0" borderId="13" xfId="2" applyFont="1" applyBorder="1" applyAlignment="1">
      <alignment horizontal="center" vertical="center"/>
    </xf>
    <xf numFmtId="166" fontId="4" fillId="0" borderId="13" xfId="1" applyNumberFormat="1" applyFont="1" applyFill="1" applyBorder="1" applyAlignment="1"/>
    <xf numFmtId="0" fontId="4" fillId="0" borderId="2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center"/>
    </xf>
    <xf numFmtId="166" fontId="4" fillId="0" borderId="22" xfId="2" applyNumberFormat="1" applyFont="1" applyFill="1" applyBorder="1" applyAlignment="1">
      <alignment horizontal="center"/>
    </xf>
    <xf numFmtId="164" fontId="4" fillId="0" borderId="13" xfId="2" applyNumberFormat="1" applyFont="1" applyFill="1" applyBorder="1" applyAlignment="1">
      <alignment horizontal="center"/>
    </xf>
    <xf numFmtId="2" fontId="4" fillId="0" borderId="13" xfId="2" applyNumberFormat="1" applyFont="1" applyFill="1" applyBorder="1" applyAlignment="1">
      <alignment horizontal="center"/>
    </xf>
    <xf numFmtId="2" fontId="4" fillId="0" borderId="13" xfId="2" applyNumberFormat="1" applyFont="1" applyBorder="1" applyAlignment="1">
      <alignment horizontal="center"/>
    </xf>
    <xf numFmtId="0" fontId="3" fillId="0" borderId="20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/>
    </xf>
    <xf numFmtId="0" fontId="5" fillId="0" borderId="24" xfId="2" applyFont="1" applyFill="1" applyBorder="1" applyProtection="1"/>
    <xf numFmtId="0" fontId="4" fillId="0" borderId="24" xfId="2" applyFont="1" applyFill="1" applyBorder="1" applyAlignment="1">
      <alignment horizontal="center"/>
    </xf>
    <xf numFmtId="2" fontId="4" fillId="0" borderId="24" xfId="2" applyNumberFormat="1" applyFont="1" applyFill="1" applyBorder="1" applyAlignment="1">
      <alignment horizontal="center"/>
    </xf>
    <xf numFmtId="0" fontId="5" fillId="0" borderId="24" xfId="2" applyFont="1" applyBorder="1" applyProtection="1"/>
    <xf numFmtId="0" fontId="4" fillId="0" borderId="25" xfId="2" applyFont="1" applyFill="1" applyBorder="1" applyAlignment="1">
      <alignment horizontal="center"/>
    </xf>
    <xf numFmtId="2" fontId="4" fillId="0" borderId="25" xfId="2" applyNumberFormat="1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166" fontId="4" fillId="0" borderId="5" xfId="1" applyNumberFormat="1" applyFont="1" applyFill="1" applyBorder="1" applyAlignment="1"/>
    <xf numFmtId="0" fontId="4" fillId="0" borderId="5" xfId="2" applyFont="1" applyFill="1" applyBorder="1" applyAlignment="1">
      <alignment horizontal="center"/>
    </xf>
    <xf numFmtId="166" fontId="4" fillId="0" borderId="27" xfId="2" applyNumberFormat="1" applyFont="1" applyFill="1" applyBorder="1" applyAlignment="1">
      <alignment horizontal="center"/>
    </xf>
    <xf numFmtId="164" fontId="4" fillId="0" borderId="5" xfId="2" applyNumberFormat="1" applyFont="1" applyFill="1" applyBorder="1" applyAlignment="1">
      <alignment horizontal="center"/>
    </xf>
    <xf numFmtId="2" fontId="4" fillId="0" borderId="5" xfId="2" applyNumberFormat="1" applyFont="1" applyFill="1" applyBorder="1" applyAlignment="1">
      <alignment horizontal="center"/>
    </xf>
    <xf numFmtId="2" fontId="4" fillId="0" borderId="5" xfId="2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20" xfId="2" applyFont="1" applyFill="1" applyBorder="1" applyAlignment="1">
      <alignment horizontal="center" vertical="center"/>
    </xf>
    <xf numFmtId="167" fontId="24" fillId="0" borderId="20" xfId="1" applyNumberFormat="1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 wrapText="1"/>
    </xf>
    <xf numFmtId="166" fontId="24" fillId="0" borderId="20" xfId="1" applyNumberFormat="1" applyFont="1" applyFill="1" applyBorder="1" applyAlignment="1">
      <alignment horizontal="center" vertical="center"/>
    </xf>
    <xf numFmtId="164" fontId="24" fillId="0" borderId="20" xfId="2" applyNumberFormat="1" applyFont="1" applyFill="1" applyBorder="1" applyAlignment="1">
      <alignment horizontal="center" vertical="center"/>
    </xf>
    <xf numFmtId="2" fontId="24" fillId="0" borderId="20" xfId="2" applyNumberFormat="1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4" fontId="24" fillId="0" borderId="24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4" borderId="18" xfId="4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vertical="center"/>
    </xf>
    <xf numFmtId="0" fontId="24" fillId="0" borderId="29" xfId="2" applyFont="1" applyFill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4" fillId="0" borderId="14" xfId="4" applyFont="1" applyFill="1" applyBorder="1" applyAlignment="1">
      <alignment horizontal="right"/>
    </xf>
    <xf numFmtId="0" fontId="24" fillId="0" borderId="6" xfId="4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166" fontId="4" fillId="0" borderId="5" xfId="2" applyNumberFormat="1" applyFont="1" applyFill="1" applyBorder="1" applyAlignment="1"/>
    <xf numFmtId="0" fontId="4" fillId="0" borderId="5" xfId="2" applyFont="1" applyFill="1" applyBorder="1" applyAlignment="1"/>
    <xf numFmtId="0" fontId="4" fillId="0" borderId="26" xfId="2" applyFont="1" applyFill="1" applyBorder="1" applyAlignment="1">
      <alignment horizontal="center"/>
    </xf>
    <xf numFmtId="0" fontId="4" fillId="0" borderId="27" xfId="2" applyFont="1" applyFill="1" applyBorder="1" applyAlignment="1">
      <alignment horizontal="center"/>
    </xf>
    <xf numFmtId="166" fontId="24" fillId="0" borderId="20" xfId="1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/>
    <xf numFmtId="0" fontId="4" fillId="0" borderId="4" xfId="2" applyFont="1" applyFill="1" applyBorder="1" applyAlignment="1"/>
    <xf numFmtId="0" fontId="4" fillId="0" borderId="1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3" fillId="0" borderId="20" xfId="2" applyFont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/>
    <xf numFmtId="0" fontId="4" fillId="0" borderId="13" xfId="2" applyFont="1" applyFill="1" applyBorder="1" applyAlignment="1"/>
    <xf numFmtId="0" fontId="4" fillId="0" borderId="21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/>
    </xf>
    <xf numFmtId="0" fontId="24" fillId="0" borderId="24" xfId="2" applyFont="1" applyFill="1" applyBorder="1" applyAlignment="1" applyProtection="1">
      <alignment horizontal="right" vertical="center"/>
    </xf>
    <xf numFmtId="0" fontId="3" fillId="0" borderId="2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</cellXfs>
  <cellStyles count="8">
    <cellStyle name="Euro" xfId="3"/>
    <cellStyle name="Milliers" xfId="1" builtinId="3"/>
    <cellStyle name="Normal" xfId="0" builtinId="0"/>
    <cellStyle name="Normal 2" xfId="2"/>
    <cellStyle name="Normal 2 2" xfId="7"/>
    <cellStyle name="Normal 3" xfId="4"/>
    <cellStyle name="Normal 6" xfId="6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1666875</xdr:colOff>
      <xdr:row>4</xdr:row>
      <xdr:rowOff>161926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6668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17605</xdr:rowOff>
    </xdr:from>
    <xdr:to>
      <xdr:col>1</xdr:col>
      <xdr:colOff>190500</xdr:colOff>
      <xdr:row>3</xdr:row>
      <xdr:rowOff>114300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7605"/>
          <a:ext cx="1247775" cy="696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352425</xdr:colOff>
      <xdr:row>3</xdr:row>
      <xdr:rowOff>161925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9431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1676401</xdr:colOff>
      <xdr:row>3</xdr:row>
      <xdr:rowOff>123825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7640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1167343</xdr:colOff>
      <xdr:row>4</xdr:row>
      <xdr:rowOff>105833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29343" cy="1037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56"/>
  <sheetViews>
    <sheetView view="pageBreakPreview" zoomScale="60" zoomScaleNormal="100" workbookViewId="0">
      <selection activeCell="L13" sqref="L13"/>
    </sheetView>
  </sheetViews>
  <sheetFormatPr baseColWidth="10" defaultRowHeight="15"/>
  <cols>
    <col min="1" max="1" width="35.42578125" customWidth="1"/>
    <col min="2" max="2" width="3.5703125" customWidth="1"/>
    <col min="3" max="3" width="9.7109375" style="57" customWidth="1"/>
    <col min="4" max="4" width="8.85546875" style="56" customWidth="1"/>
    <col min="5" max="5" width="12.5703125" customWidth="1"/>
    <col min="6" max="6" width="7.140625" customWidth="1"/>
    <col min="7" max="7" width="5.42578125" style="17" customWidth="1"/>
    <col min="8" max="8" width="13.28515625" customWidth="1"/>
    <col min="9" max="9" width="12.28515625" customWidth="1"/>
    <col min="10" max="10" width="12.140625" style="36" customWidth="1"/>
  </cols>
  <sheetData>
    <row r="1" spans="1:10" ht="15.75">
      <c r="C1" s="18" t="s">
        <v>274</v>
      </c>
      <c r="D1" s="18"/>
      <c r="E1" s="18"/>
      <c r="F1" s="18"/>
      <c r="G1" s="67"/>
      <c r="H1" s="68"/>
    </row>
    <row r="2" spans="1:10" ht="15.75">
      <c r="C2" s="138" t="s">
        <v>246</v>
      </c>
      <c r="D2" s="138"/>
      <c r="E2" s="138"/>
      <c r="F2" s="138"/>
      <c r="G2" s="138"/>
      <c r="H2" s="138"/>
    </row>
    <row r="3" spans="1:10" ht="15.75">
      <c r="E3" s="18" t="s">
        <v>258</v>
      </c>
    </row>
    <row r="6" spans="1:10">
      <c r="A6" s="10" t="s">
        <v>276</v>
      </c>
    </row>
    <row r="8" spans="1:10" s="10" customFormat="1" ht="47.25">
      <c r="A8" s="62" t="s">
        <v>99</v>
      </c>
      <c r="B8" s="18"/>
      <c r="C8" s="62" t="s">
        <v>10</v>
      </c>
      <c r="D8" s="62" t="s">
        <v>11</v>
      </c>
      <c r="E8" s="62" t="s">
        <v>100</v>
      </c>
      <c r="F8" s="62" t="s">
        <v>101</v>
      </c>
      <c r="G8" s="63"/>
      <c r="H8" s="62" t="s">
        <v>261</v>
      </c>
      <c r="I8" s="62" t="s">
        <v>244</v>
      </c>
      <c r="J8" s="62" t="s">
        <v>245</v>
      </c>
    </row>
    <row r="9" spans="1:10" ht="17.100000000000001" customHeight="1">
      <c r="A9" s="66" t="s">
        <v>102</v>
      </c>
      <c r="C9" s="71">
        <v>748</v>
      </c>
      <c r="D9" s="71">
        <v>47</v>
      </c>
      <c r="E9" s="71">
        <f>C9+D9</f>
        <v>795</v>
      </c>
      <c r="F9" s="72">
        <f t="shared" ref="F9:F54" si="0">E9/H9</f>
        <v>1.3361344537815125</v>
      </c>
      <c r="G9" s="39"/>
      <c r="H9" s="71">
        <f>'structures r2022 clg'!P7</f>
        <v>595</v>
      </c>
      <c r="I9" s="71">
        <v>45</v>
      </c>
      <c r="J9" s="71">
        <v>47</v>
      </c>
    </row>
    <row r="10" spans="1:10" ht="17.100000000000001" customHeight="1">
      <c r="A10" s="66" t="s">
        <v>103</v>
      </c>
      <c r="C10" s="71">
        <v>973</v>
      </c>
      <c r="D10" s="71">
        <v>51</v>
      </c>
      <c r="E10" s="71">
        <f t="shared" ref="E10:E54" si="1">C10+D10</f>
        <v>1024</v>
      </c>
      <c r="F10" s="72">
        <f t="shared" si="0"/>
        <v>1.1729667812142039</v>
      </c>
      <c r="G10" s="39"/>
      <c r="H10" s="71">
        <f>'structures r2022 clg'!P8</f>
        <v>873</v>
      </c>
      <c r="I10" s="71">
        <v>51</v>
      </c>
      <c r="J10" s="71">
        <v>53</v>
      </c>
    </row>
    <row r="11" spans="1:10" ht="17.100000000000001" customHeight="1">
      <c r="A11" s="66" t="s">
        <v>104</v>
      </c>
      <c r="C11" s="71">
        <v>814</v>
      </c>
      <c r="D11" s="71">
        <v>48</v>
      </c>
      <c r="E11" s="71">
        <f t="shared" si="1"/>
        <v>862</v>
      </c>
      <c r="F11" s="72">
        <f t="shared" si="0"/>
        <v>1.1955617198335644</v>
      </c>
      <c r="G11" s="39"/>
      <c r="H11" s="71">
        <f>'structures r2022 clg'!P9</f>
        <v>721</v>
      </c>
      <c r="I11" s="71">
        <v>48</v>
      </c>
      <c r="J11" s="71">
        <v>49</v>
      </c>
    </row>
    <row r="12" spans="1:10" ht="17.100000000000001" customHeight="1">
      <c r="A12" s="66" t="s">
        <v>228</v>
      </c>
      <c r="C12" s="71">
        <v>967</v>
      </c>
      <c r="D12" s="71">
        <v>60</v>
      </c>
      <c r="E12" s="71">
        <f t="shared" si="1"/>
        <v>1027</v>
      </c>
      <c r="F12" s="72">
        <f t="shared" si="0"/>
        <v>1.286967418546366</v>
      </c>
      <c r="G12" s="39"/>
      <c r="H12" s="71">
        <f>'structures r2022 clg'!P10</f>
        <v>798</v>
      </c>
      <c r="I12" s="71">
        <v>58</v>
      </c>
      <c r="J12" s="71">
        <v>59</v>
      </c>
    </row>
    <row r="13" spans="1:10" ht="17.100000000000001" customHeight="1">
      <c r="A13" s="66" t="s">
        <v>105</v>
      </c>
      <c r="C13" s="71">
        <v>630</v>
      </c>
      <c r="D13" s="71">
        <v>31</v>
      </c>
      <c r="E13" s="71">
        <f t="shared" si="1"/>
        <v>661</v>
      </c>
      <c r="F13" s="72">
        <f t="shared" si="0"/>
        <v>1.2785299806576402</v>
      </c>
      <c r="G13" s="39"/>
      <c r="H13" s="71">
        <f>'structures r2022 clg'!P11</f>
        <v>517</v>
      </c>
      <c r="I13" s="71">
        <v>31</v>
      </c>
      <c r="J13" s="71">
        <v>33</v>
      </c>
    </row>
    <row r="14" spans="1:10" ht="17.100000000000001" customHeight="1">
      <c r="A14" s="66" t="s">
        <v>229</v>
      </c>
      <c r="C14" s="71">
        <v>237</v>
      </c>
      <c r="D14" s="71">
        <v>12</v>
      </c>
      <c r="E14" s="71">
        <f t="shared" si="1"/>
        <v>249</v>
      </c>
      <c r="F14" s="72">
        <f t="shared" si="0"/>
        <v>1.3532608695652173</v>
      </c>
      <c r="G14" s="39"/>
      <c r="H14" s="71">
        <f>'structures r2022 clg'!P12</f>
        <v>184</v>
      </c>
      <c r="I14" s="71">
        <v>12</v>
      </c>
      <c r="J14" s="71">
        <v>12</v>
      </c>
    </row>
    <row r="15" spans="1:10" ht="17.100000000000001" customHeight="1">
      <c r="A15" s="66" t="s">
        <v>230</v>
      </c>
      <c r="C15" s="71">
        <v>319</v>
      </c>
      <c r="D15" s="71">
        <v>18</v>
      </c>
      <c r="E15" s="71">
        <f t="shared" si="1"/>
        <v>337</v>
      </c>
      <c r="F15" s="72">
        <f t="shared" si="0"/>
        <v>1.3534136546184738</v>
      </c>
      <c r="G15" s="39"/>
      <c r="H15" s="71">
        <f>'structures r2022 clg'!P13</f>
        <v>249</v>
      </c>
      <c r="I15" s="71">
        <v>18</v>
      </c>
      <c r="J15" s="71">
        <v>19</v>
      </c>
    </row>
    <row r="16" spans="1:10" ht="17.100000000000001" customHeight="1">
      <c r="A16" s="66" t="s">
        <v>106</v>
      </c>
      <c r="C16" s="71">
        <v>445</v>
      </c>
      <c r="D16" s="71">
        <v>24</v>
      </c>
      <c r="E16" s="71">
        <f t="shared" si="1"/>
        <v>469</v>
      </c>
      <c r="F16" s="72">
        <f t="shared" si="0"/>
        <v>1.2473404255319149</v>
      </c>
      <c r="G16" s="39"/>
      <c r="H16" s="71">
        <f>'structures r2022 clg'!P14</f>
        <v>376</v>
      </c>
      <c r="I16" s="71">
        <v>24</v>
      </c>
      <c r="J16" s="71">
        <v>25</v>
      </c>
    </row>
    <row r="17" spans="1:10" ht="17.100000000000001" customHeight="1">
      <c r="A17" s="66" t="s">
        <v>231</v>
      </c>
      <c r="C17" s="71">
        <v>321</v>
      </c>
      <c r="D17" s="71">
        <v>19</v>
      </c>
      <c r="E17" s="71">
        <f t="shared" si="1"/>
        <v>340</v>
      </c>
      <c r="F17" s="72">
        <f t="shared" si="0"/>
        <v>1.3709677419354838</v>
      </c>
      <c r="G17" s="39"/>
      <c r="H17" s="71">
        <f>'structures r2022 clg'!P15</f>
        <v>248</v>
      </c>
      <c r="I17" s="71">
        <v>19</v>
      </c>
      <c r="J17" s="71">
        <v>19</v>
      </c>
    </row>
    <row r="18" spans="1:10" ht="17.100000000000001" customHeight="1">
      <c r="A18" s="66" t="s">
        <v>107</v>
      </c>
      <c r="C18" s="71">
        <v>699</v>
      </c>
      <c r="D18" s="71">
        <v>40</v>
      </c>
      <c r="E18" s="71">
        <f t="shared" si="1"/>
        <v>739</v>
      </c>
      <c r="F18" s="72">
        <f t="shared" si="0"/>
        <v>1.2441077441077442</v>
      </c>
      <c r="G18" s="39"/>
      <c r="H18" s="71">
        <f>'structures r2022 clg'!P16</f>
        <v>594</v>
      </c>
      <c r="I18" s="71">
        <v>40</v>
      </c>
      <c r="J18" s="71">
        <v>41</v>
      </c>
    </row>
    <row r="19" spans="1:10" ht="17.100000000000001" customHeight="1">
      <c r="A19" s="66" t="s">
        <v>232</v>
      </c>
      <c r="C19" s="71">
        <v>137</v>
      </c>
      <c r="D19" s="71">
        <v>0</v>
      </c>
      <c r="E19" s="71">
        <f t="shared" si="1"/>
        <v>137</v>
      </c>
      <c r="F19" s="72">
        <f t="shared" si="0"/>
        <v>1.9571428571428571</v>
      </c>
      <c r="G19" s="39"/>
      <c r="H19" s="71">
        <f>'structures r2022 clg'!P17</f>
        <v>70</v>
      </c>
      <c r="I19" s="71">
        <v>7</v>
      </c>
      <c r="J19" s="71">
        <v>7</v>
      </c>
    </row>
    <row r="20" spans="1:10" ht="17.100000000000001" customHeight="1">
      <c r="A20" s="66" t="s">
        <v>233</v>
      </c>
      <c r="C20" s="71">
        <v>119</v>
      </c>
      <c r="D20" s="71">
        <v>6</v>
      </c>
      <c r="E20" s="71">
        <f t="shared" si="1"/>
        <v>125</v>
      </c>
      <c r="F20" s="72">
        <f t="shared" si="0"/>
        <v>2.6041666666666665</v>
      </c>
      <c r="G20" s="39"/>
      <c r="H20" s="71">
        <f>'structures r2022 clg'!P18</f>
        <v>48</v>
      </c>
      <c r="I20" s="71">
        <v>6</v>
      </c>
      <c r="J20" s="71">
        <v>6</v>
      </c>
    </row>
    <row r="21" spans="1:10" ht="17.100000000000001" customHeight="1">
      <c r="A21" s="66" t="s">
        <v>108</v>
      </c>
      <c r="C21" s="71">
        <v>255</v>
      </c>
      <c r="D21" s="71">
        <v>16</v>
      </c>
      <c r="E21" s="71">
        <f t="shared" si="1"/>
        <v>271</v>
      </c>
      <c r="F21" s="72">
        <f t="shared" si="0"/>
        <v>1.3618090452261307</v>
      </c>
      <c r="G21" s="39"/>
      <c r="H21" s="71">
        <f>'structures r2022 clg'!P19</f>
        <v>199</v>
      </c>
      <c r="I21" s="71">
        <v>16</v>
      </c>
      <c r="J21" s="71">
        <v>17</v>
      </c>
    </row>
    <row r="22" spans="1:10" ht="17.100000000000001" customHeight="1">
      <c r="A22" s="66" t="s">
        <v>109</v>
      </c>
      <c r="B22" s="37"/>
      <c r="C22" s="71">
        <v>461</v>
      </c>
      <c r="D22" s="71">
        <v>21</v>
      </c>
      <c r="E22" s="71">
        <f t="shared" si="1"/>
        <v>482</v>
      </c>
      <c r="F22" s="72">
        <f>E22/(H22-19)</f>
        <v>1.2650918635170603</v>
      </c>
      <c r="G22" s="39"/>
      <c r="H22" s="71">
        <f>'structures r2022 clg'!P20</f>
        <v>400</v>
      </c>
      <c r="I22" s="71">
        <v>21</v>
      </c>
      <c r="J22" s="71">
        <v>22</v>
      </c>
    </row>
    <row r="23" spans="1:10" ht="17.100000000000001" customHeight="1">
      <c r="A23" s="66" t="s">
        <v>110</v>
      </c>
      <c r="C23" s="71">
        <v>577</v>
      </c>
      <c r="D23" s="71">
        <v>30</v>
      </c>
      <c r="E23" s="71">
        <f t="shared" si="1"/>
        <v>607</v>
      </c>
      <c r="F23" s="72">
        <f t="shared" si="0"/>
        <v>1.2489711934156378</v>
      </c>
      <c r="G23" s="39"/>
      <c r="H23" s="71">
        <f>'structures r2022 clg'!P21</f>
        <v>486</v>
      </c>
      <c r="I23" s="71">
        <v>30</v>
      </c>
      <c r="J23" s="71">
        <v>31</v>
      </c>
    </row>
    <row r="24" spans="1:10" ht="17.100000000000001" customHeight="1">
      <c r="A24" s="66" t="s">
        <v>111</v>
      </c>
      <c r="C24" s="71">
        <v>158</v>
      </c>
      <c r="D24" s="71">
        <v>0</v>
      </c>
      <c r="E24" s="71">
        <f t="shared" si="1"/>
        <v>158</v>
      </c>
      <c r="F24" s="72">
        <f t="shared" si="0"/>
        <v>1.9268292682926829</v>
      </c>
      <c r="G24" s="39"/>
      <c r="H24" s="71">
        <f>'structures r2022 clg'!P22</f>
        <v>82</v>
      </c>
      <c r="I24" s="71">
        <v>5</v>
      </c>
      <c r="J24" s="71">
        <v>6</v>
      </c>
    </row>
    <row r="25" spans="1:10" ht="17.100000000000001" customHeight="1">
      <c r="A25" s="66" t="s">
        <v>112</v>
      </c>
      <c r="C25" s="71">
        <v>1171</v>
      </c>
      <c r="D25" s="71">
        <v>63</v>
      </c>
      <c r="E25" s="71">
        <f t="shared" si="1"/>
        <v>1234</v>
      </c>
      <c r="F25" s="72">
        <f t="shared" si="0"/>
        <v>1.2098039215686274</v>
      </c>
      <c r="G25" s="39"/>
      <c r="H25" s="71">
        <f>'structures r2022 clg'!P23</f>
        <v>1020</v>
      </c>
      <c r="I25" s="71">
        <v>63</v>
      </c>
      <c r="J25" s="71">
        <v>65</v>
      </c>
    </row>
    <row r="26" spans="1:10" ht="17.100000000000001" customHeight="1">
      <c r="A26" s="66" t="s">
        <v>113</v>
      </c>
      <c r="C26" s="71">
        <v>1117</v>
      </c>
      <c r="D26" s="71">
        <v>65</v>
      </c>
      <c r="E26" s="71">
        <f t="shared" si="1"/>
        <v>1182</v>
      </c>
      <c r="F26" s="72">
        <f t="shared" si="0"/>
        <v>1.2364016736401673</v>
      </c>
      <c r="G26" s="39"/>
      <c r="H26" s="71">
        <f>'structures r2022 clg'!P24</f>
        <v>956</v>
      </c>
      <c r="I26" s="71">
        <v>63</v>
      </c>
      <c r="J26" s="71">
        <v>64</v>
      </c>
    </row>
    <row r="27" spans="1:10" ht="17.100000000000001" customHeight="1">
      <c r="A27" s="66" t="s">
        <v>234</v>
      </c>
      <c r="C27" s="71">
        <v>347</v>
      </c>
      <c r="D27" s="71">
        <v>0</v>
      </c>
      <c r="E27" s="71">
        <f t="shared" si="1"/>
        <v>347</v>
      </c>
      <c r="F27" s="72">
        <f t="shared" si="0"/>
        <v>1.5630630630630631</v>
      </c>
      <c r="G27" s="39"/>
      <c r="H27" s="71">
        <f>'structures r2022 clg'!P25</f>
        <v>222</v>
      </c>
      <c r="I27" s="71">
        <v>22</v>
      </c>
      <c r="J27" s="71">
        <v>22</v>
      </c>
    </row>
    <row r="28" spans="1:10" ht="17.100000000000001" customHeight="1">
      <c r="A28" s="66" t="s">
        <v>114</v>
      </c>
      <c r="C28" s="71">
        <v>466</v>
      </c>
      <c r="D28" s="71">
        <v>26</v>
      </c>
      <c r="E28" s="71">
        <f t="shared" si="1"/>
        <v>492</v>
      </c>
      <c r="F28" s="72">
        <f t="shared" si="0"/>
        <v>1.4774774774774775</v>
      </c>
      <c r="G28" s="39"/>
      <c r="H28" s="71">
        <f>'structures r2022 clg'!P26</f>
        <v>333</v>
      </c>
      <c r="I28" s="71">
        <v>24</v>
      </c>
      <c r="J28" s="71">
        <v>26</v>
      </c>
    </row>
    <row r="29" spans="1:10" ht="17.100000000000001" customHeight="1">
      <c r="A29" s="66" t="s">
        <v>115</v>
      </c>
      <c r="C29" s="71">
        <v>294</v>
      </c>
      <c r="D29" s="71">
        <v>0</v>
      </c>
      <c r="E29" s="71">
        <f t="shared" si="1"/>
        <v>294</v>
      </c>
      <c r="F29" s="72">
        <f t="shared" si="0"/>
        <v>1.5891891891891892</v>
      </c>
      <c r="G29" s="39"/>
      <c r="H29" s="71">
        <f>'structures r2022 clg'!P27</f>
        <v>185</v>
      </c>
      <c r="I29" s="71">
        <v>17</v>
      </c>
      <c r="J29" s="71">
        <v>18</v>
      </c>
    </row>
    <row r="30" spans="1:10" ht="17.100000000000001" customHeight="1">
      <c r="A30" s="66" t="s">
        <v>235</v>
      </c>
      <c r="C30" s="71">
        <v>615</v>
      </c>
      <c r="D30" s="71">
        <v>2</v>
      </c>
      <c r="E30" s="71">
        <f t="shared" si="1"/>
        <v>617</v>
      </c>
      <c r="F30" s="72">
        <f t="shared" si="0"/>
        <v>1.6279683377308707</v>
      </c>
      <c r="G30" s="39"/>
      <c r="H30" s="71">
        <f>'structures r2022 clg'!P28</f>
        <v>379</v>
      </c>
      <c r="I30" s="71">
        <v>33</v>
      </c>
      <c r="J30" s="71">
        <v>35</v>
      </c>
    </row>
    <row r="31" spans="1:10" ht="17.100000000000001" customHeight="1">
      <c r="A31" s="66" t="s">
        <v>116</v>
      </c>
      <c r="C31" s="71">
        <v>798</v>
      </c>
      <c r="D31" s="71">
        <v>44</v>
      </c>
      <c r="E31" s="71">
        <f t="shared" si="1"/>
        <v>842</v>
      </c>
      <c r="F31" s="72">
        <f t="shared" si="0"/>
        <v>1.3034055727554179</v>
      </c>
      <c r="G31" s="39"/>
      <c r="H31" s="71">
        <f>'structures r2022 clg'!P29</f>
        <v>646</v>
      </c>
      <c r="I31" s="71">
        <v>44</v>
      </c>
      <c r="J31" s="71">
        <v>46</v>
      </c>
    </row>
    <row r="32" spans="1:10" ht="17.100000000000001" customHeight="1">
      <c r="A32" s="66" t="s">
        <v>227</v>
      </c>
      <c r="C32" s="71">
        <v>797</v>
      </c>
      <c r="D32" s="71">
        <v>42</v>
      </c>
      <c r="E32" s="71">
        <f t="shared" si="1"/>
        <v>839</v>
      </c>
      <c r="F32" s="72">
        <f t="shared" si="0"/>
        <v>1.3171114599686029</v>
      </c>
      <c r="G32" s="39"/>
      <c r="H32" s="71">
        <f>'structures r2022 clg'!P30</f>
        <v>637</v>
      </c>
      <c r="I32" s="71">
        <v>42</v>
      </c>
      <c r="J32" s="71">
        <v>44</v>
      </c>
    </row>
    <row r="33" spans="1:10" ht="17.100000000000001" customHeight="1">
      <c r="A33" s="66" t="s">
        <v>117</v>
      </c>
      <c r="C33" s="71">
        <v>637</v>
      </c>
      <c r="D33" s="71">
        <v>33</v>
      </c>
      <c r="E33" s="71">
        <f t="shared" si="1"/>
        <v>670</v>
      </c>
      <c r="F33" s="72">
        <f t="shared" si="0"/>
        <v>1.3814432989690721</v>
      </c>
      <c r="G33" s="39"/>
      <c r="H33" s="71">
        <f>'structures r2022 clg'!P31</f>
        <v>485</v>
      </c>
      <c r="I33" s="71">
        <v>33</v>
      </c>
      <c r="J33" s="71">
        <v>35</v>
      </c>
    </row>
    <row r="34" spans="1:10" ht="17.100000000000001" customHeight="1">
      <c r="A34" s="66" t="s">
        <v>236</v>
      </c>
      <c r="C34" s="71">
        <v>646</v>
      </c>
      <c r="D34" s="71">
        <v>2</v>
      </c>
      <c r="E34" s="71">
        <f t="shared" si="1"/>
        <v>648</v>
      </c>
      <c r="F34" s="72">
        <f t="shared" si="0"/>
        <v>1.6281407035175879</v>
      </c>
      <c r="G34" s="39"/>
      <c r="H34" s="71">
        <f>'structures r2022 clg'!P32</f>
        <v>398</v>
      </c>
      <c r="I34" s="71">
        <v>30</v>
      </c>
      <c r="J34" s="71">
        <v>33</v>
      </c>
    </row>
    <row r="35" spans="1:10" ht="17.100000000000001" customHeight="1">
      <c r="A35" s="66" t="s">
        <v>118</v>
      </c>
      <c r="C35" s="71">
        <v>455</v>
      </c>
      <c r="D35" s="71">
        <v>0</v>
      </c>
      <c r="E35" s="71">
        <f t="shared" si="1"/>
        <v>455</v>
      </c>
      <c r="F35" s="72">
        <f t="shared" si="0"/>
        <v>1.5016501650165017</v>
      </c>
      <c r="G35" s="39"/>
      <c r="H35" s="71">
        <f>'structures r2022 clg'!P33</f>
        <v>303</v>
      </c>
      <c r="I35" s="71">
        <v>24</v>
      </c>
      <c r="J35" s="71">
        <v>26</v>
      </c>
    </row>
    <row r="36" spans="1:10" ht="17.100000000000001" customHeight="1">
      <c r="A36" s="66" t="s">
        <v>119</v>
      </c>
      <c r="C36" s="71">
        <v>361</v>
      </c>
      <c r="D36" s="71">
        <v>0</v>
      </c>
      <c r="E36" s="71">
        <f t="shared" si="1"/>
        <v>361</v>
      </c>
      <c r="F36" s="72">
        <f t="shared" si="0"/>
        <v>1.5427350427350428</v>
      </c>
      <c r="G36" s="39"/>
      <c r="H36" s="71">
        <f>'structures r2022 clg'!P34</f>
        <v>234</v>
      </c>
      <c r="I36" s="71">
        <v>18</v>
      </c>
      <c r="J36" s="71">
        <v>19</v>
      </c>
    </row>
    <row r="37" spans="1:10" ht="17.100000000000001" customHeight="1">
      <c r="A37" s="66" t="s">
        <v>120</v>
      </c>
      <c r="C37" s="71">
        <v>229</v>
      </c>
      <c r="D37" s="71">
        <v>17</v>
      </c>
      <c r="E37" s="71">
        <f t="shared" si="1"/>
        <v>246</v>
      </c>
      <c r="F37" s="72">
        <f t="shared" si="0"/>
        <v>1.2551020408163265</v>
      </c>
      <c r="G37" s="39"/>
      <c r="H37" s="71">
        <f>'structures r2022 clg'!P35</f>
        <v>196</v>
      </c>
      <c r="I37" s="71">
        <v>17</v>
      </c>
      <c r="J37" s="71">
        <v>17</v>
      </c>
    </row>
    <row r="38" spans="1:10" ht="17.100000000000001" customHeight="1">
      <c r="A38" s="66" t="s">
        <v>121</v>
      </c>
      <c r="C38" s="71">
        <v>362</v>
      </c>
      <c r="D38" s="71">
        <v>21</v>
      </c>
      <c r="E38" s="71">
        <f t="shared" si="1"/>
        <v>383</v>
      </c>
      <c r="F38" s="72">
        <f t="shared" si="0"/>
        <v>1.4452830188679244</v>
      </c>
      <c r="G38" s="39"/>
      <c r="H38" s="71">
        <f>'structures r2022 clg'!P36</f>
        <v>265</v>
      </c>
      <c r="I38" s="71">
        <v>21</v>
      </c>
      <c r="J38" s="71">
        <v>22</v>
      </c>
    </row>
    <row r="39" spans="1:10" ht="17.100000000000001" customHeight="1">
      <c r="A39" s="66" t="s">
        <v>237</v>
      </c>
      <c r="C39" s="71">
        <v>401</v>
      </c>
      <c r="D39" s="71">
        <v>0</v>
      </c>
      <c r="E39" s="71">
        <f t="shared" si="1"/>
        <v>401</v>
      </c>
      <c r="F39" s="72">
        <f t="shared" si="0"/>
        <v>1.5018726591760299</v>
      </c>
      <c r="G39" s="39"/>
      <c r="H39" s="71">
        <f>'structures r2022 clg'!P37</f>
        <v>267</v>
      </c>
      <c r="I39" s="71">
        <v>24</v>
      </c>
      <c r="J39" s="71">
        <v>24</v>
      </c>
    </row>
    <row r="40" spans="1:10" ht="17.100000000000001" customHeight="1">
      <c r="A40" s="66" t="s">
        <v>238</v>
      </c>
      <c r="C40" s="71">
        <v>475</v>
      </c>
      <c r="D40" s="71">
        <v>0</v>
      </c>
      <c r="E40" s="71">
        <f t="shared" si="1"/>
        <v>475</v>
      </c>
      <c r="F40" s="72">
        <f t="shared" si="0"/>
        <v>1.8339768339768341</v>
      </c>
      <c r="G40" s="39"/>
      <c r="H40" s="71">
        <f>'structures r2022 clg'!P38</f>
        <v>259</v>
      </c>
      <c r="I40" s="71">
        <v>23</v>
      </c>
      <c r="J40" s="71">
        <v>25</v>
      </c>
    </row>
    <row r="41" spans="1:10" ht="17.100000000000001" customHeight="1">
      <c r="A41" s="66" t="s">
        <v>122</v>
      </c>
      <c r="C41" s="71">
        <v>412</v>
      </c>
      <c r="D41" s="71">
        <v>26</v>
      </c>
      <c r="E41" s="71">
        <f t="shared" si="1"/>
        <v>438</v>
      </c>
      <c r="F41" s="72">
        <f t="shared" si="0"/>
        <v>1.331306990881459</v>
      </c>
      <c r="G41" s="39"/>
      <c r="H41" s="71">
        <f>'structures r2022 clg'!P39</f>
        <v>329</v>
      </c>
      <c r="I41" s="71">
        <v>26</v>
      </c>
      <c r="J41" s="71">
        <v>27</v>
      </c>
    </row>
    <row r="42" spans="1:10" ht="17.100000000000001" customHeight="1">
      <c r="A42" s="66" t="s">
        <v>123</v>
      </c>
      <c r="C42" s="71">
        <v>490</v>
      </c>
      <c r="D42" s="71">
        <v>28</v>
      </c>
      <c r="E42" s="71">
        <f t="shared" si="1"/>
        <v>518</v>
      </c>
      <c r="F42" s="72">
        <f t="shared" si="0"/>
        <v>1.4388888888888889</v>
      </c>
      <c r="G42" s="39"/>
      <c r="H42" s="71">
        <f>'structures r2022 clg'!P40</f>
        <v>360</v>
      </c>
      <c r="I42" s="71">
        <v>28</v>
      </c>
      <c r="J42" s="71">
        <v>29</v>
      </c>
    </row>
    <row r="43" spans="1:10" ht="17.100000000000001" customHeight="1">
      <c r="A43" s="66" t="s">
        <v>239</v>
      </c>
      <c r="C43" s="71">
        <v>959</v>
      </c>
      <c r="D43" s="71">
        <v>50</v>
      </c>
      <c r="E43" s="71">
        <f t="shared" si="1"/>
        <v>1009</v>
      </c>
      <c r="F43" s="72">
        <f t="shared" si="0"/>
        <v>1.2788339670468949</v>
      </c>
      <c r="G43" s="39"/>
      <c r="H43" s="71">
        <f>'structures r2022 clg'!P41</f>
        <v>789</v>
      </c>
      <c r="I43" s="71">
        <v>50</v>
      </c>
      <c r="J43" s="71">
        <v>53</v>
      </c>
    </row>
    <row r="44" spans="1:10" ht="17.100000000000001" customHeight="1">
      <c r="A44" s="66" t="s">
        <v>124</v>
      </c>
      <c r="C44" s="71">
        <v>715</v>
      </c>
      <c r="D44" s="71">
        <v>35</v>
      </c>
      <c r="E44" s="71">
        <f t="shared" si="1"/>
        <v>750</v>
      </c>
      <c r="F44" s="72">
        <f t="shared" si="0"/>
        <v>1.1885895404120443</v>
      </c>
      <c r="G44" s="39"/>
      <c r="H44" s="71">
        <f>'structures r2022 clg'!P42</f>
        <v>631</v>
      </c>
      <c r="I44" s="71">
        <v>35</v>
      </c>
      <c r="J44" s="71">
        <v>36</v>
      </c>
    </row>
    <row r="45" spans="1:10" ht="17.100000000000001" customHeight="1">
      <c r="A45" s="66" t="s">
        <v>240</v>
      </c>
      <c r="C45" s="71">
        <v>360</v>
      </c>
      <c r="D45" s="71">
        <v>20</v>
      </c>
      <c r="E45" s="71">
        <f t="shared" si="1"/>
        <v>380</v>
      </c>
      <c r="F45" s="72">
        <f t="shared" si="0"/>
        <v>1.2881355932203389</v>
      </c>
      <c r="G45" s="39"/>
      <c r="H45" s="71">
        <f>'structures r2022 clg'!P43</f>
        <v>295</v>
      </c>
      <c r="I45" s="71">
        <v>20</v>
      </c>
      <c r="J45" s="71">
        <v>21</v>
      </c>
    </row>
    <row r="46" spans="1:10" ht="17.100000000000001" customHeight="1">
      <c r="A46" s="66" t="s">
        <v>241</v>
      </c>
      <c r="C46" s="71">
        <v>762</v>
      </c>
      <c r="D46" s="71">
        <v>45</v>
      </c>
      <c r="E46" s="71">
        <f t="shared" si="1"/>
        <v>807</v>
      </c>
      <c r="F46" s="72">
        <f t="shared" si="0"/>
        <v>1.1561604584527221</v>
      </c>
      <c r="G46" s="39"/>
      <c r="H46" s="71">
        <f>'structures r2022 clg'!P44</f>
        <v>698</v>
      </c>
      <c r="I46" s="71">
        <v>45</v>
      </c>
      <c r="J46" s="71">
        <v>45</v>
      </c>
    </row>
    <row r="47" spans="1:10" ht="17.100000000000001" customHeight="1">
      <c r="A47" s="66" t="s">
        <v>125</v>
      </c>
      <c r="C47" s="71">
        <v>699</v>
      </c>
      <c r="D47" s="71">
        <v>31</v>
      </c>
      <c r="E47" s="71">
        <f t="shared" si="1"/>
        <v>730</v>
      </c>
      <c r="F47" s="72">
        <f t="shared" si="0"/>
        <v>1.3369963369963369</v>
      </c>
      <c r="G47" s="39"/>
      <c r="H47" s="71">
        <f>'structures r2022 clg'!P45</f>
        <v>546</v>
      </c>
      <c r="I47" s="71">
        <v>31</v>
      </c>
      <c r="J47" s="71">
        <v>34</v>
      </c>
    </row>
    <row r="48" spans="1:10" ht="17.100000000000001" customHeight="1">
      <c r="A48" s="66" t="s">
        <v>126</v>
      </c>
      <c r="C48" s="71">
        <v>811</v>
      </c>
      <c r="D48" s="71">
        <v>44</v>
      </c>
      <c r="E48" s="71">
        <f t="shared" si="1"/>
        <v>855</v>
      </c>
      <c r="F48" s="72">
        <f t="shared" si="0"/>
        <v>1.1793103448275861</v>
      </c>
      <c r="G48" s="39"/>
      <c r="H48" s="71">
        <f>'structures r2022 clg'!P46</f>
        <v>725</v>
      </c>
      <c r="I48" s="71">
        <v>44</v>
      </c>
      <c r="J48" s="71">
        <v>45</v>
      </c>
    </row>
    <row r="49" spans="1:10" ht="17.100000000000001" customHeight="1">
      <c r="A49" s="66" t="s">
        <v>243</v>
      </c>
      <c r="C49" s="71">
        <v>727</v>
      </c>
      <c r="D49" s="71">
        <v>2</v>
      </c>
      <c r="E49" s="71">
        <f t="shared" si="1"/>
        <v>729</v>
      </c>
      <c r="F49" s="72">
        <f t="shared" si="0"/>
        <v>1.7608695652173914</v>
      </c>
      <c r="G49" s="39"/>
      <c r="H49" s="71">
        <f>'structures r2022 clg'!P47</f>
        <v>414</v>
      </c>
      <c r="I49" s="71">
        <v>36</v>
      </c>
      <c r="J49" s="71">
        <v>38</v>
      </c>
    </row>
    <row r="50" spans="1:10" ht="17.100000000000001" customHeight="1">
      <c r="A50" s="66" t="s">
        <v>127</v>
      </c>
      <c r="C50" s="71">
        <v>170</v>
      </c>
      <c r="D50" s="71">
        <v>7</v>
      </c>
      <c r="E50" s="71">
        <f t="shared" si="1"/>
        <v>177</v>
      </c>
      <c r="F50" s="72">
        <f t="shared" si="0"/>
        <v>2.4246575342465753</v>
      </c>
      <c r="G50" s="39"/>
      <c r="H50" s="71">
        <f>'structures r2022 clg'!P48</f>
        <v>73</v>
      </c>
      <c r="I50" s="71">
        <v>7</v>
      </c>
      <c r="J50" s="71">
        <v>7</v>
      </c>
    </row>
    <row r="51" spans="1:10" ht="17.100000000000001" customHeight="1">
      <c r="A51" s="66" t="s">
        <v>242</v>
      </c>
      <c r="C51" s="71">
        <v>507</v>
      </c>
      <c r="D51" s="71">
        <v>29</v>
      </c>
      <c r="E51" s="71">
        <f t="shared" si="1"/>
        <v>536</v>
      </c>
      <c r="F51" s="72">
        <f t="shared" si="0"/>
        <v>1.2265446224256293</v>
      </c>
      <c r="G51" s="39"/>
      <c r="H51" s="71">
        <f>'structures r2022 clg'!P49</f>
        <v>437</v>
      </c>
      <c r="I51" s="71">
        <v>29</v>
      </c>
      <c r="J51" s="71">
        <v>29</v>
      </c>
    </row>
    <row r="52" spans="1:10" ht="17.100000000000001" customHeight="1">
      <c r="A52" s="66" t="s">
        <v>128</v>
      </c>
      <c r="B52" s="37"/>
      <c r="C52" s="71">
        <v>105</v>
      </c>
      <c r="D52" s="71">
        <v>14</v>
      </c>
      <c r="E52" s="71">
        <f t="shared" si="1"/>
        <v>119</v>
      </c>
      <c r="F52" s="72">
        <f>E52/(H52-80)</f>
        <v>1.3837209302325582</v>
      </c>
      <c r="G52" s="39"/>
      <c r="H52" s="71">
        <f>'structures r2022 clg'!P50</f>
        <v>166</v>
      </c>
      <c r="I52" s="71">
        <v>14</v>
      </c>
      <c r="J52" s="71">
        <v>14</v>
      </c>
    </row>
    <row r="53" spans="1:10" ht="17.100000000000001" customHeight="1">
      <c r="A53" s="66" t="s">
        <v>129</v>
      </c>
      <c r="C53" s="71">
        <v>732</v>
      </c>
      <c r="D53" s="71">
        <v>37</v>
      </c>
      <c r="E53" s="71">
        <f t="shared" si="1"/>
        <v>769</v>
      </c>
      <c r="F53" s="72">
        <f t="shared" si="0"/>
        <v>1.184899845916795</v>
      </c>
      <c r="G53" s="39"/>
      <c r="H53" s="71">
        <f>'structures r2022 clg'!P51</f>
        <v>649</v>
      </c>
      <c r="I53" s="71">
        <v>37</v>
      </c>
      <c r="J53" s="71">
        <v>38</v>
      </c>
    </row>
    <row r="54" spans="1:10" ht="17.100000000000001" customHeight="1">
      <c r="A54" s="66" t="s">
        <v>130</v>
      </c>
      <c r="C54" s="71">
        <v>503</v>
      </c>
      <c r="D54" s="71">
        <v>29</v>
      </c>
      <c r="E54" s="71">
        <f t="shared" si="1"/>
        <v>532</v>
      </c>
      <c r="F54" s="72">
        <f t="shared" si="0"/>
        <v>1.3782383419689119</v>
      </c>
      <c r="G54" s="39"/>
      <c r="H54" s="71">
        <f>'structures r2022 clg'!P52</f>
        <v>386</v>
      </c>
      <c r="I54" s="71">
        <v>29</v>
      </c>
      <c r="J54" s="71">
        <v>31</v>
      </c>
    </row>
    <row r="55" spans="1:10" s="57" customFormat="1" ht="6.75" customHeight="1">
      <c r="A55" s="70"/>
      <c r="C55" s="35"/>
      <c r="D55" s="64"/>
      <c r="E55" s="65"/>
      <c r="F55" s="5"/>
      <c r="G55" s="39"/>
      <c r="H55" s="4"/>
      <c r="I55" s="65"/>
      <c r="J55" s="65"/>
    </row>
    <row r="56" spans="1:10" s="58" customFormat="1" ht="21.75" customHeight="1">
      <c r="A56" s="82" t="s">
        <v>131</v>
      </c>
      <c r="B56" s="83"/>
      <c r="C56" s="81">
        <f>SUM(C9:C54)</f>
        <v>24983</v>
      </c>
      <c r="D56" s="84">
        <f>SUM(D9:D54)</f>
        <v>1135</v>
      </c>
      <c r="E56" s="84">
        <f>SUM(E9:E54)</f>
        <v>26118</v>
      </c>
      <c r="F56" s="85">
        <f>E56/(H56-80-19)</f>
        <v>1.3309213208316348</v>
      </c>
      <c r="G56" s="86"/>
      <c r="H56" s="81">
        <f>SUM(H9:H54)</f>
        <v>19723</v>
      </c>
      <c r="I56" s="81">
        <f>SUM(I9:I54)</f>
        <v>1360</v>
      </c>
      <c r="J56" s="81">
        <f>SUM(J9:J54)</f>
        <v>1414</v>
      </c>
    </row>
  </sheetData>
  <mergeCells count="1">
    <mergeCell ref="C2:H2"/>
  </mergeCells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55"/>
  <sheetViews>
    <sheetView topLeftCell="A7" zoomScaleNormal="100" zoomScaleSheetLayoutView="50" workbookViewId="0">
      <selection activeCell="U50" sqref="U50"/>
    </sheetView>
  </sheetViews>
  <sheetFormatPr baseColWidth="10" defaultRowHeight="15"/>
  <cols>
    <col min="1" max="1" width="16.7109375" customWidth="1"/>
    <col min="2" max="2" width="29" customWidth="1"/>
    <col min="5" max="5" width="13.5703125" customWidth="1"/>
    <col min="9" max="9" width="12.42578125" customWidth="1"/>
    <col min="15" max="15" width="14" customWidth="1"/>
    <col min="19" max="19" width="2.28515625" customWidth="1"/>
    <col min="20" max="20" width="8" style="36" customWidth="1"/>
    <col min="21" max="21" width="11.42578125" style="48"/>
  </cols>
  <sheetData>
    <row r="1" spans="1:21" ht="15.75">
      <c r="F1" s="138" t="s">
        <v>274</v>
      </c>
      <c r="G1" s="138"/>
      <c r="H1" s="138"/>
      <c r="I1" s="138"/>
      <c r="J1" s="138"/>
    </row>
    <row r="2" spans="1:21" ht="15.75">
      <c r="E2" s="128"/>
      <c r="F2" s="138" t="s">
        <v>225</v>
      </c>
      <c r="G2" s="138"/>
      <c r="H2" s="138"/>
      <c r="I2" s="138"/>
      <c r="J2" s="138"/>
    </row>
    <row r="3" spans="1:21" ht="15.75">
      <c r="E3" s="128"/>
      <c r="F3" s="138" t="s">
        <v>259</v>
      </c>
      <c r="G3" s="138"/>
      <c r="H3" s="138"/>
      <c r="I3" s="138"/>
      <c r="J3" s="138"/>
    </row>
    <row r="4" spans="1:21" s="57" customFormat="1" ht="15.75">
      <c r="D4" s="69"/>
      <c r="E4" s="69"/>
      <c r="F4" s="69"/>
      <c r="G4" s="69"/>
      <c r="H4" s="69"/>
      <c r="U4" s="48"/>
    </row>
    <row r="5" spans="1:21">
      <c r="A5" s="10" t="s">
        <v>276</v>
      </c>
    </row>
    <row r="6" spans="1:21" ht="51">
      <c r="A6" s="6" t="s">
        <v>132</v>
      </c>
      <c r="B6" s="7" t="s">
        <v>99</v>
      </c>
      <c r="C6" s="7" t="s">
        <v>133</v>
      </c>
      <c r="D6" s="6" t="s">
        <v>265</v>
      </c>
      <c r="E6" s="6" t="s">
        <v>262</v>
      </c>
      <c r="F6" s="6" t="s">
        <v>264</v>
      </c>
      <c r="G6" s="6" t="s">
        <v>263</v>
      </c>
      <c r="H6" s="6" t="s">
        <v>266</v>
      </c>
      <c r="I6" s="6" t="s">
        <v>267</v>
      </c>
      <c r="J6" s="6" t="s">
        <v>268</v>
      </c>
      <c r="K6" s="6" t="s">
        <v>269</v>
      </c>
      <c r="L6" s="6" t="s">
        <v>270</v>
      </c>
      <c r="M6" s="6" t="s">
        <v>271</v>
      </c>
      <c r="N6" s="6" t="s">
        <v>272</v>
      </c>
      <c r="O6" s="6" t="s">
        <v>273</v>
      </c>
      <c r="P6" s="6" t="s">
        <v>224</v>
      </c>
      <c r="Q6" s="6" t="s">
        <v>275</v>
      </c>
      <c r="R6" s="6" t="s">
        <v>134</v>
      </c>
      <c r="S6" s="73"/>
      <c r="T6" s="6" t="s">
        <v>222</v>
      </c>
      <c r="U6" s="127" t="s">
        <v>248</v>
      </c>
    </row>
    <row r="7" spans="1:21">
      <c r="A7" s="131" t="s">
        <v>135</v>
      </c>
      <c r="B7" s="134" t="s">
        <v>102</v>
      </c>
      <c r="C7" s="3">
        <v>4</v>
      </c>
      <c r="D7" s="29">
        <v>137</v>
      </c>
      <c r="E7" s="31">
        <v>6</v>
      </c>
      <c r="F7" s="32">
        <v>147</v>
      </c>
      <c r="G7" s="30">
        <v>6</v>
      </c>
      <c r="H7" s="26">
        <v>159</v>
      </c>
      <c r="I7" s="27">
        <v>6</v>
      </c>
      <c r="J7" s="29">
        <v>152</v>
      </c>
      <c r="K7" s="27">
        <v>6</v>
      </c>
      <c r="L7" s="8"/>
      <c r="M7" s="8"/>
      <c r="N7" s="8"/>
      <c r="O7" s="8"/>
      <c r="P7" s="9">
        <f>D7+F7+H7+J7</f>
        <v>595</v>
      </c>
      <c r="Q7" s="9">
        <f>E7+G7+I7+K7</f>
        <v>24</v>
      </c>
      <c r="R7" s="33">
        <v>2</v>
      </c>
      <c r="T7" s="47">
        <f>P7/Q7</f>
        <v>24.791666666666668</v>
      </c>
    </row>
    <row r="8" spans="1:21">
      <c r="A8" s="132" t="s">
        <v>136</v>
      </c>
      <c r="B8" s="135" t="s">
        <v>103</v>
      </c>
      <c r="C8" s="3">
        <v>5</v>
      </c>
      <c r="D8" s="29">
        <v>208</v>
      </c>
      <c r="E8" s="31">
        <v>9</v>
      </c>
      <c r="F8" s="32">
        <v>202</v>
      </c>
      <c r="G8" s="30">
        <v>7</v>
      </c>
      <c r="H8" s="26">
        <v>219</v>
      </c>
      <c r="I8" s="27">
        <v>8</v>
      </c>
      <c r="J8" s="29">
        <v>244</v>
      </c>
      <c r="K8" s="27">
        <v>9</v>
      </c>
      <c r="L8" s="8"/>
      <c r="M8" s="8"/>
      <c r="N8" s="8"/>
      <c r="O8" s="8"/>
      <c r="P8" s="9">
        <f t="shared" ref="P8:Q52" si="0">D8+F8+H8+J8</f>
        <v>873</v>
      </c>
      <c r="Q8" s="9">
        <f t="shared" si="0"/>
        <v>33</v>
      </c>
      <c r="R8" s="33">
        <v>2</v>
      </c>
      <c r="T8" s="47">
        <f t="shared" ref="T8:T53" si="1">P8/Q8</f>
        <v>26.454545454545453</v>
      </c>
    </row>
    <row r="9" spans="1:21">
      <c r="A9" s="132" t="s">
        <v>137</v>
      </c>
      <c r="B9" s="135" t="s">
        <v>104</v>
      </c>
      <c r="C9" s="3">
        <v>5</v>
      </c>
      <c r="D9" s="29">
        <v>168</v>
      </c>
      <c r="E9" s="31">
        <v>7</v>
      </c>
      <c r="F9" s="32">
        <v>173</v>
      </c>
      <c r="G9" s="30">
        <v>6</v>
      </c>
      <c r="H9" s="26">
        <v>201</v>
      </c>
      <c r="I9" s="27">
        <v>8</v>
      </c>
      <c r="J9" s="29">
        <v>179</v>
      </c>
      <c r="K9" s="27">
        <v>7</v>
      </c>
      <c r="L9" s="8"/>
      <c r="M9" s="8"/>
      <c r="N9" s="8"/>
      <c r="O9" s="8"/>
      <c r="P9" s="9">
        <f t="shared" si="0"/>
        <v>721</v>
      </c>
      <c r="Q9" s="9">
        <f t="shared" si="0"/>
        <v>28</v>
      </c>
      <c r="R9" s="33">
        <v>1</v>
      </c>
      <c r="T9" s="47">
        <f t="shared" si="1"/>
        <v>25.75</v>
      </c>
    </row>
    <row r="10" spans="1:21">
      <c r="A10" s="132" t="s">
        <v>138</v>
      </c>
      <c r="B10" s="135" t="s">
        <v>228</v>
      </c>
      <c r="C10" s="3">
        <v>3</v>
      </c>
      <c r="D10" s="29">
        <v>190</v>
      </c>
      <c r="E10" s="31">
        <v>8</v>
      </c>
      <c r="F10" s="32">
        <v>195</v>
      </c>
      <c r="G10" s="30">
        <v>7</v>
      </c>
      <c r="H10" s="26">
        <v>204</v>
      </c>
      <c r="I10" s="27">
        <v>8</v>
      </c>
      <c r="J10" s="29">
        <v>209</v>
      </c>
      <c r="K10" s="27">
        <v>8</v>
      </c>
      <c r="L10" s="8"/>
      <c r="M10" s="8"/>
      <c r="N10" s="8"/>
      <c r="O10" s="8"/>
      <c r="P10" s="9">
        <f t="shared" si="0"/>
        <v>798</v>
      </c>
      <c r="Q10" s="9">
        <f t="shared" si="0"/>
        <v>31</v>
      </c>
      <c r="R10" s="33">
        <v>1</v>
      </c>
      <c r="T10" s="47">
        <f t="shared" si="1"/>
        <v>25.741935483870968</v>
      </c>
    </row>
    <row r="11" spans="1:21">
      <c r="A11" s="132" t="s">
        <v>139</v>
      </c>
      <c r="B11" s="135" t="s">
        <v>105</v>
      </c>
      <c r="C11" s="3">
        <v>4</v>
      </c>
      <c r="D11" s="29">
        <v>119</v>
      </c>
      <c r="E11" s="31">
        <v>5</v>
      </c>
      <c r="F11" s="32">
        <v>123</v>
      </c>
      <c r="G11" s="30">
        <v>5</v>
      </c>
      <c r="H11" s="26">
        <v>139</v>
      </c>
      <c r="I11" s="27">
        <v>5</v>
      </c>
      <c r="J11" s="29">
        <v>136</v>
      </c>
      <c r="K11" s="27">
        <v>5</v>
      </c>
      <c r="L11" s="8"/>
      <c r="M11" s="8"/>
      <c r="N11" s="8"/>
      <c r="O11" s="8"/>
      <c r="P11" s="9">
        <f t="shared" si="0"/>
        <v>517</v>
      </c>
      <c r="Q11" s="9">
        <f t="shared" si="0"/>
        <v>20</v>
      </c>
      <c r="R11" s="33">
        <v>2</v>
      </c>
      <c r="T11" s="47">
        <f t="shared" si="1"/>
        <v>25.85</v>
      </c>
    </row>
    <row r="12" spans="1:21">
      <c r="A12" s="132" t="s">
        <v>140</v>
      </c>
      <c r="B12" s="135" t="s">
        <v>229</v>
      </c>
      <c r="C12" s="3">
        <v>3</v>
      </c>
      <c r="D12" s="28">
        <v>40</v>
      </c>
      <c r="E12" s="31">
        <v>2</v>
      </c>
      <c r="F12" s="32">
        <v>48</v>
      </c>
      <c r="G12" s="30">
        <v>2</v>
      </c>
      <c r="H12" s="26">
        <v>46</v>
      </c>
      <c r="I12" s="27">
        <v>2</v>
      </c>
      <c r="J12" s="29">
        <v>50</v>
      </c>
      <c r="K12" s="27">
        <v>2</v>
      </c>
      <c r="L12" s="8"/>
      <c r="M12" s="8"/>
      <c r="N12" s="8"/>
      <c r="O12" s="8"/>
      <c r="P12" s="9">
        <f t="shared" si="0"/>
        <v>184</v>
      </c>
      <c r="Q12" s="9">
        <f t="shared" si="0"/>
        <v>8</v>
      </c>
      <c r="R12" s="33">
        <v>0</v>
      </c>
      <c r="T12" s="47">
        <f t="shared" si="1"/>
        <v>23</v>
      </c>
    </row>
    <row r="13" spans="1:21">
      <c r="A13" s="132" t="s">
        <v>141</v>
      </c>
      <c r="B13" s="135" t="s">
        <v>230</v>
      </c>
      <c r="C13" s="3">
        <v>3</v>
      </c>
      <c r="D13" s="28">
        <v>51</v>
      </c>
      <c r="E13" s="31">
        <v>2</v>
      </c>
      <c r="F13" s="32">
        <v>57</v>
      </c>
      <c r="G13" s="30">
        <v>2</v>
      </c>
      <c r="H13" s="26">
        <v>66</v>
      </c>
      <c r="I13" s="27">
        <v>3</v>
      </c>
      <c r="J13" s="29">
        <v>75</v>
      </c>
      <c r="K13" s="27">
        <v>3</v>
      </c>
      <c r="L13" s="8"/>
      <c r="M13" s="8"/>
      <c r="N13" s="8"/>
      <c r="O13" s="8"/>
      <c r="P13" s="9">
        <f t="shared" si="0"/>
        <v>249</v>
      </c>
      <c r="Q13" s="9">
        <f t="shared" si="0"/>
        <v>10</v>
      </c>
      <c r="R13" s="33">
        <v>1</v>
      </c>
      <c r="T13" s="47">
        <f t="shared" si="1"/>
        <v>24.9</v>
      </c>
    </row>
    <row r="14" spans="1:21">
      <c r="A14" s="132" t="s">
        <v>142</v>
      </c>
      <c r="B14" s="135" t="s">
        <v>106</v>
      </c>
      <c r="C14" s="3">
        <v>5</v>
      </c>
      <c r="D14" s="28">
        <v>81</v>
      </c>
      <c r="E14" s="31">
        <v>4</v>
      </c>
      <c r="F14" s="32">
        <v>80</v>
      </c>
      <c r="G14" s="30">
        <v>3</v>
      </c>
      <c r="H14" s="26">
        <v>98</v>
      </c>
      <c r="I14" s="27">
        <v>4</v>
      </c>
      <c r="J14" s="29">
        <v>117</v>
      </c>
      <c r="K14" s="27">
        <v>4</v>
      </c>
      <c r="L14" s="8"/>
      <c r="M14" s="8"/>
      <c r="N14" s="8"/>
      <c r="O14" s="8"/>
      <c r="P14" s="9">
        <f t="shared" si="0"/>
        <v>376</v>
      </c>
      <c r="Q14" s="9">
        <f t="shared" si="0"/>
        <v>15</v>
      </c>
      <c r="R14" s="33">
        <v>1</v>
      </c>
      <c r="T14" s="47">
        <f t="shared" si="1"/>
        <v>25.066666666666666</v>
      </c>
    </row>
    <row r="15" spans="1:21">
      <c r="A15" s="132" t="s">
        <v>143</v>
      </c>
      <c r="B15" s="135" t="s">
        <v>231</v>
      </c>
      <c r="C15" s="3">
        <v>3</v>
      </c>
      <c r="D15" s="28">
        <v>62</v>
      </c>
      <c r="E15" s="31">
        <v>3</v>
      </c>
      <c r="F15" s="32">
        <v>69</v>
      </c>
      <c r="G15" s="30">
        <v>3</v>
      </c>
      <c r="H15" s="26">
        <v>49</v>
      </c>
      <c r="I15" s="27">
        <v>2</v>
      </c>
      <c r="J15" s="29">
        <v>68</v>
      </c>
      <c r="K15" s="27">
        <v>3</v>
      </c>
      <c r="L15" s="8"/>
      <c r="M15" s="8"/>
      <c r="N15" s="8"/>
      <c r="O15" s="8"/>
      <c r="P15" s="9">
        <f t="shared" si="0"/>
        <v>248</v>
      </c>
      <c r="Q15" s="9">
        <f t="shared" si="0"/>
        <v>11</v>
      </c>
      <c r="R15" s="33">
        <v>0</v>
      </c>
      <c r="T15" s="47">
        <f t="shared" si="1"/>
        <v>22.545454545454547</v>
      </c>
    </row>
    <row r="16" spans="1:21">
      <c r="A16" s="132" t="s">
        <v>144</v>
      </c>
      <c r="B16" s="135" t="s">
        <v>107</v>
      </c>
      <c r="C16" s="3">
        <v>5</v>
      </c>
      <c r="D16" s="28">
        <v>145</v>
      </c>
      <c r="E16" s="31">
        <v>6</v>
      </c>
      <c r="F16" s="32">
        <v>153</v>
      </c>
      <c r="G16" s="30">
        <v>6</v>
      </c>
      <c r="H16" s="26">
        <v>160</v>
      </c>
      <c r="I16" s="27">
        <v>6</v>
      </c>
      <c r="J16" s="29">
        <v>136</v>
      </c>
      <c r="K16" s="27">
        <v>5</v>
      </c>
      <c r="L16" s="8"/>
      <c r="M16" s="8"/>
      <c r="N16" s="8"/>
      <c r="O16" s="8"/>
      <c r="P16" s="9">
        <f t="shared" si="0"/>
        <v>594</v>
      </c>
      <c r="Q16" s="9">
        <f t="shared" si="0"/>
        <v>23</v>
      </c>
      <c r="R16" s="33">
        <v>1</v>
      </c>
      <c r="T16" s="47">
        <f t="shared" si="1"/>
        <v>25.826086956521738</v>
      </c>
    </row>
    <row r="17" spans="1:21">
      <c r="A17" s="132" t="s">
        <v>145</v>
      </c>
      <c r="B17" s="135" t="s">
        <v>232</v>
      </c>
      <c r="C17" s="3">
        <v>2</v>
      </c>
      <c r="D17" s="28">
        <v>11</v>
      </c>
      <c r="E17" s="31">
        <v>1</v>
      </c>
      <c r="F17" s="32">
        <v>15</v>
      </c>
      <c r="G17" s="30">
        <v>1</v>
      </c>
      <c r="H17" s="26">
        <v>19</v>
      </c>
      <c r="I17" s="27">
        <v>1</v>
      </c>
      <c r="J17" s="29">
        <v>25</v>
      </c>
      <c r="K17" s="27">
        <v>1</v>
      </c>
      <c r="L17" s="8"/>
      <c r="M17" s="8"/>
      <c r="N17" s="8"/>
      <c r="O17" s="8"/>
      <c r="P17" s="9">
        <f t="shared" si="0"/>
        <v>70</v>
      </c>
      <c r="Q17" s="9">
        <f t="shared" si="0"/>
        <v>4</v>
      </c>
      <c r="R17" s="33">
        <v>0</v>
      </c>
      <c r="T17" s="47">
        <f t="shared" si="1"/>
        <v>17.5</v>
      </c>
    </row>
    <row r="18" spans="1:21">
      <c r="A18" s="132" t="s">
        <v>146</v>
      </c>
      <c r="B18" s="135" t="s">
        <v>233</v>
      </c>
      <c r="C18" s="3">
        <v>3</v>
      </c>
      <c r="D18" s="28">
        <v>11</v>
      </c>
      <c r="E18" s="31">
        <v>1</v>
      </c>
      <c r="F18" s="32">
        <v>13</v>
      </c>
      <c r="G18" s="30">
        <v>1</v>
      </c>
      <c r="H18" s="26">
        <v>11</v>
      </c>
      <c r="I18" s="27">
        <v>1</v>
      </c>
      <c r="J18" s="29">
        <v>13</v>
      </c>
      <c r="K18" s="27">
        <v>1</v>
      </c>
      <c r="L18" s="8"/>
      <c r="M18" s="8"/>
      <c r="N18" s="8"/>
      <c r="O18" s="8"/>
      <c r="P18" s="9">
        <f t="shared" si="0"/>
        <v>48</v>
      </c>
      <c r="Q18" s="9">
        <f t="shared" si="0"/>
        <v>4</v>
      </c>
      <c r="R18" s="33">
        <v>0</v>
      </c>
      <c r="T18" s="47">
        <f t="shared" si="1"/>
        <v>12</v>
      </c>
    </row>
    <row r="19" spans="1:21">
      <c r="A19" s="132" t="s">
        <v>147</v>
      </c>
      <c r="B19" s="135" t="s">
        <v>108</v>
      </c>
      <c r="C19" s="3">
        <v>5</v>
      </c>
      <c r="D19" s="28">
        <v>51</v>
      </c>
      <c r="E19" s="25">
        <v>2</v>
      </c>
      <c r="F19" s="32">
        <v>53</v>
      </c>
      <c r="G19" s="30">
        <v>2</v>
      </c>
      <c r="H19" s="26">
        <v>50</v>
      </c>
      <c r="I19" s="27">
        <v>2</v>
      </c>
      <c r="J19" s="29">
        <v>45</v>
      </c>
      <c r="K19" s="27">
        <v>2</v>
      </c>
      <c r="L19" s="8"/>
      <c r="M19" s="8"/>
      <c r="N19" s="8"/>
      <c r="O19" s="8"/>
      <c r="P19" s="9">
        <f t="shared" si="0"/>
        <v>199</v>
      </c>
      <c r="Q19" s="9">
        <f t="shared" si="0"/>
        <v>8</v>
      </c>
      <c r="R19" s="33">
        <v>1</v>
      </c>
      <c r="T19" s="47">
        <f t="shared" si="1"/>
        <v>24.875</v>
      </c>
    </row>
    <row r="20" spans="1:21">
      <c r="A20" s="132" t="s">
        <v>148</v>
      </c>
      <c r="B20" s="135" t="s">
        <v>109</v>
      </c>
      <c r="C20" s="3">
        <v>5</v>
      </c>
      <c r="D20" s="28">
        <v>98</v>
      </c>
      <c r="E20" s="31">
        <v>4</v>
      </c>
      <c r="F20" s="32">
        <v>111</v>
      </c>
      <c r="G20" s="30">
        <v>4</v>
      </c>
      <c r="H20" s="26">
        <v>83</v>
      </c>
      <c r="I20" s="27">
        <v>3</v>
      </c>
      <c r="J20" s="29">
        <v>89</v>
      </c>
      <c r="K20" s="27">
        <v>4</v>
      </c>
      <c r="L20" s="8">
        <v>19</v>
      </c>
      <c r="M20" s="8">
        <v>1</v>
      </c>
      <c r="N20" s="8"/>
      <c r="O20" s="8"/>
      <c r="P20" s="9">
        <f>D20+F20+H20+J20+L20</f>
        <v>400</v>
      </c>
      <c r="Q20" s="9">
        <f>E20+G20+I20+K20+M20</f>
        <v>16</v>
      </c>
      <c r="R20" s="33">
        <v>1</v>
      </c>
      <c r="T20" s="47">
        <f t="shared" si="1"/>
        <v>25</v>
      </c>
      <c r="U20" s="126">
        <f>(P20-L20)/(Q20-M20)</f>
        <v>25.4</v>
      </c>
    </row>
    <row r="21" spans="1:21">
      <c r="A21" s="132" t="s">
        <v>149</v>
      </c>
      <c r="B21" s="135" t="s">
        <v>110</v>
      </c>
      <c r="C21" s="3">
        <v>5</v>
      </c>
      <c r="D21" s="28">
        <v>119</v>
      </c>
      <c r="E21" s="31">
        <v>5</v>
      </c>
      <c r="F21" s="32">
        <v>125</v>
      </c>
      <c r="G21" s="30">
        <v>5</v>
      </c>
      <c r="H21" s="26">
        <v>134</v>
      </c>
      <c r="I21" s="27">
        <v>5</v>
      </c>
      <c r="J21" s="29">
        <v>108</v>
      </c>
      <c r="K21" s="27">
        <v>4</v>
      </c>
      <c r="L21" s="8"/>
      <c r="M21" s="8"/>
      <c r="N21" s="8"/>
      <c r="O21" s="8"/>
      <c r="P21" s="9">
        <f t="shared" si="0"/>
        <v>486</v>
      </c>
      <c r="Q21" s="9">
        <f t="shared" si="0"/>
        <v>19</v>
      </c>
      <c r="R21" s="33">
        <v>1</v>
      </c>
      <c r="T21" s="47">
        <f t="shared" si="1"/>
        <v>25.578947368421051</v>
      </c>
    </row>
    <row r="22" spans="1:21">
      <c r="A22" s="132" t="s">
        <v>150</v>
      </c>
      <c r="B22" s="135" t="s">
        <v>111</v>
      </c>
      <c r="C22" s="3">
        <v>2</v>
      </c>
      <c r="D22" s="28">
        <v>20</v>
      </c>
      <c r="E22" s="31">
        <v>1</v>
      </c>
      <c r="F22" s="32">
        <v>21</v>
      </c>
      <c r="G22" s="30">
        <v>1</v>
      </c>
      <c r="H22" s="26">
        <v>22</v>
      </c>
      <c r="I22" s="27">
        <v>1</v>
      </c>
      <c r="J22" s="29">
        <v>19</v>
      </c>
      <c r="K22" s="27">
        <v>1</v>
      </c>
      <c r="L22" s="8"/>
      <c r="M22" s="8"/>
      <c r="N22" s="8"/>
      <c r="O22" s="8"/>
      <c r="P22" s="9">
        <f t="shared" si="0"/>
        <v>82</v>
      </c>
      <c r="Q22" s="9">
        <f t="shared" si="0"/>
        <v>4</v>
      </c>
      <c r="R22" s="33">
        <v>1</v>
      </c>
      <c r="T22" s="47">
        <f t="shared" si="1"/>
        <v>20.5</v>
      </c>
    </row>
    <row r="23" spans="1:21">
      <c r="A23" s="132" t="s">
        <v>151</v>
      </c>
      <c r="B23" s="135" t="s">
        <v>112</v>
      </c>
      <c r="C23" s="3">
        <v>5</v>
      </c>
      <c r="D23" s="28">
        <v>256</v>
      </c>
      <c r="E23" s="31">
        <v>11</v>
      </c>
      <c r="F23" s="32">
        <v>255</v>
      </c>
      <c r="G23" s="30">
        <v>9</v>
      </c>
      <c r="H23" s="26">
        <v>264</v>
      </c>
      <c r="I23" s="27">
        <v>10</v>
      </c>
      <c r="J23" s="29">
        <v>245</v>
      </c>
      <c r="K23" s="27">
        <v>9</v>
      </c>
      <c r="L23" s="8"/>
      <c r="M23" s="8"/>
      <c r="N23" s="8"/>
      <c r="O23" s="8"/>
      <c r="P23" s="9">
        <f t="shared" si="0"/>
        <v>1020</v>
      </c>
      <c r="Q23" s="9">
        <f t="shared" si="0"/>
        <v>39</v>
      </c>
      <c r="R23" s="33">
        <v>2</v>
      </c>
      <c r="T23" s="47">
        <f t="shared" si="1"/>
        <v>26.153846153846153</v>
      </c>
    </row>
    <row r="24" spans="1:21">
      <c r="A24" s="132" t="s">
        <v>152</v>
      </c>
      <c r="B24" s="135" t="s">
        <v>113</v>
      </c>
      <c r="C24" s="3">
        <v>5</v>
      </c>
      <c r="D24" s="28">
        <v>222</v>
      </c>
      <c r="E24" s="31">
        <v>10</v>
      </c>
      <c r="F24" s="32">
        <v>242</v>
      </c>
      <c r="G24" s="30">
        <v>10</v>
      </c>
      <c r="H24" s="26">
        <v>248</v>
      </c>
      <c r="I24" s="27">
        <v>9</v>
      </c>
      <c r="J24" s="29">
        <v>244</v>
      </c>
      <c r="K24" s="27">
        <v>9</v>
      </c>
      <c r="L24" s="8"/>
      <c r="M24" s="8"/>
      <c r="N24" s="8"/>
      <c r="O24" s="8"/>
      <c r="P24" s="9">
        <f t="shared" si="0"/>
        <v>956</v>
      </c>
      <c r="Q24" s="9">
        <f t="shared" si="0"/>
        <v>38</v>
      </c>
      <c r="R24" s="33">
        <v>1</v>
      </c>
      <c r="T24" s="47">
        <f t="shared" si="1"/>
        <v>25.157894736842106</v>
      </c>
    </row>
    <row r="25" spans="1:21">
      <c r="A25" s="132" t="s">
        <v>153</v>
      </c>
      <c r="B25" s="135" t="s">
        <v>234</v>
      </c>
      <c r="C25" s="3">
        <v>1</v>
      </c>
      <c r="D25" s="28">
        <v>51</v>
      </c>
      <c r="E25" s="31">
        <v>3</v>
      </c>
      <c r="F25" s="32">
        <v>53</v>
      </c>
      <c r="G25" s="30">
        <v>2</v>
      </c>
      <c r="H25" s="26">
        <v>53</v>
      </c>
      <c r="I25" s="27">
        <v>2</v>
      </c>
      <c r="J25" s="29">
        <v>65</v>
      </c>
      <c r="K25" s="27">
        <v>3</v>
      </c>
      <c r="L25" s="8"/>
      <c r="M25" s="8"/>
      <c r="N25" s="8"/>
      <c r="O25" s="8"/>
      <c r="P25" s="9">
        <f t="shared" si="0"/>
        <v>222</v>
      </c>
      <c r="Q25" s="9">
        <f t="shared" si="0"/>
        <v>10</v>
      </c>
      <c r="R25" s="33">
        <v>0</v>
      </c>
      <c r="T25" s="47">
        <f t="shared" si="1"/>
        <v>22.2</v>
      </c>
    </row>
    <row r="26" spans="1:21">
      <c r="A26" s="132" t="s">
        <v>154</v>
      </c>
      <c r="B26" s="135" t="s">
        <v>114</v>
      </c>
      <c r="C26" s="3">
        <v>5</v>
      </c>
      <c r="D26" s="28">
        <v>86</v>
      </c>
      <c r="E26" s="31">
        <v>4</v>
      </c>
      <c r="F26" s="32">
        <v>91</v>
      </c>
      <c r="G26" s="30">
        <v>4</v>
      </c>
      <c r="H26" s="26">
        <v>78</v>
      </c>
      <c r="I26" s="27">
        <v>3</v>
      </c>
      <c r="J26" s="29">
        <v>78</v>
      </c>
      <c r="K26" s="27">
        <v>3</v>
      </c>
      <c r="L26" s="8"/>
      <c r="M26" s="8"/>
      <c r="N26" s="8"/>
      <c r="O26" s="8"/>
      <c r="P26" s="9">
        <f t="shared" si="0"/>
        <v>333</v>
      </c>
      <c r="Q26" s="9">
        <f t="shared" si="0"/>
        <v>14</v>
      </c>
      <c r="R26" s="34">
        <v>2</v>
      </c>
      <c r="T26" s="47">
        <f t="shared" si="1"/>
        <v>23.785714285714285</v>
      </c>
    </row>
    <row r="27" spans="1:21">
      <c r="A27" s="132" t="s">
        <v>155</v>
      </c>
      <c r="B27" s="135" t="s">
        <v>115</v>
      </c>
      <c r="C27" s="3">
        <v>2</v>
      </c>
      <c r="D27" s="28">
        <v>40</v>
      </c>
      <c r="E27" s="31">
        <v>2</v>
      </c>
      <c r="F27" s="32">
        <v>43</v>
      </c>
      <c r="G27" s="30">
        <v>2</v>
      </c>
      <c r="H27" s="26">
        <v>49</v>
      </c>
      <c r="I27" s="27">
        <v>2</v>
      </c>
      <c r="J27" s="29">
        <v>53</v>
      </c>
      <c r="K27" s="27">
        <v>2</v>
      </c>
      <c r="L27" s="8"/>
      <c r="M27" s="8"/>
      <c r="N27" s="8"/>
      <c r="O27" s="8"/>
      <c r="P27" s="9">
        <f t="shared" si="0"/>
        <v>185</v>
      </c>
      <c r="Q27" s="9">
        <f t="shared" si="0"/>
        <v>8</v>
      </c>
      <c r="R27" s="33">
        <v>1</v>
      </c>
      <c r="T27" s="47">
        <f t="shared" si="1"/>
        <v>23.125</v>
      </c>
    </row>
    <row r="28" spans="1:21">
      <c r="A28" s="132" t="s">
        <v>156</v>
      </c>
      <c r="B28" s="135" t="s">
        <v>235</v>
      </c>
      <c r="C28" s="3">
        <v>2</v>
      </c>
      <c r="D28" s="28">
        <v>85</v>
      </c>
      <c r="E28" s="31">
        <v>4</v>
      </c>
      <c r="F28" s="32">
        <v>85</v>
      </c>
      <c r="G28" s="30">
        <v>4</v>
      </c>
      <c r="H28" s="26">
        <v>104</v>
      </c>
      <c r="I28" s="27">
        <v>4</v>
      </c>
      <c r="J28" s="29">
        <v>105</v>
      </c>
      <c r="K28" s="27">
        <v>4</v>
      </c>
      <c r="L28" s="8"/>
      <c r="M28" s="8"/>
      <c r="N28" s="8"/>
      <c r="O28" s="8"/>
      <c r="P28" s="9">
        <f t="shared" si="0"/>
        <v>379</v>
      </c>
      <c r="Q28" s="9">
        <f t="shared" si="0"/>
        <v>16</v>
      </c>
      <c r="R28" s="33">
        <v>2</v>
      </c>
      <c r="T28" s="47">
        <f t="shared" si="1"/>
        <v>23.6875</v>
      </c>
    </row>
    <row r="29" spans="1:21">
      <c r="A29" s="132" t="s">
        <v>157</v>
      </c>
      <c r="B29" s="135" t="s">
        <v>116</v>
      </c>
      <c r="C29" s="3">
        <v>5</v>
      </c>
      <c r="D29" s="28">
        <v>154</v>
      </c>
      <c r="E29" s="31">
        <v>7</v>
      </c>
      <c r="F29" s="32">
        <v>154</v>
      </c>
      <c r="G29" s="30">
        <v>6</v>
      </c>
      <c r="H29" s="26">
        <v>185</v>
      </c>
      <c r="I29" s="27">
        <v>7</v>
      </c>
      <c r="J29" s="29">
        <v>153</v>
      </c>
      <c r="K29" s="27">
        <v>6</v>
      </c>
      <c r="L29" s="8"/>
      <c r="M29" s="8"/>
      <c r="N29" s="8"/>
      <c r="O29" s="8"/>
      <c r="P29" s="9">
        <f t="shared" si="0"/>
        <v>646</v>
      </c>
      <c r="Q29" s="9">
        <f t="shared" si="0"/>
        <v>26</v>
      </c>
      <c r="R29" s="33">
        <v>2</v>
      </c>
      <c r="T29" s="47">
        <f t="shared" si="1"/>
        <v>24.846153846153847</v>
      </c>
    </row>
    <row r="30" spans="1:21">
      <c r="A30" s="132" t="s">
        <v>158</v>
      </c>
      <c r="B30" s="135" t="s">
        <v>227</v>
      </c>
      <c r="C30" s="3">
        <v>5</v>
      </c>
      <c r="D30" s="28">
        <v>149</v>
      </c>
      <c r="E30" s="31">
        <v>7</v>
      </c>
      <c r="F30" s="32">
        <v>150</v>
      </c>
      <c r="G30" s="30">
        <v>6</v>
      </c>
      <c r="H30" s="26">
        <v>173</v>
      </c>
      <c r="I30" s="27">
        <v>7</v>
      </c>
      <c r="J30" s="29">
        <v>165</v>
      </c>
      <c r="K30" s="27">
        <v>6</v>
      </c>
      <c r="L30" s="8"/>
      <c r="M30" s="8"/>
      <c r="N30" s="8"/>
      <c r="O30" s="8"/>
      <c r="P30" s="9">
        <f t="shared" si="0"/>
        <v>637</v>
      </c>
      <c r="Q30" s="9">
        <f t="shared" si="0"/>
        <v>26</v>
      </c>
      <c r="R30" s="33">
        <v>2</v>
      </c>
      <c r="T30" s="47">
        <f t="shared" si="1"/>
        <v>24.5</v>
      </c>
    </row>
    <row r="31" spans="1:21">
      <c r="A31" s="132" t="s">
        <v>159</v>
      </c>
      <c r="B31" s="135" t="s">
        <v>117</v>
      </c>
      <c r="C31" s="3">
        <v>4</v>
      </c>
      <c r="D31" s="28">
        <v>114</v>
      </c>
      <c r="E31" s="31">
        <v>5</v>
      </c>
      <c r="F31" s="32">
        <v>121</v>
      </c>
      <c r="G31" s="30">
        <v>5</v>
      </c>
      <c r="H31" s="26">
        <v>122</v>
      </c>
      <c r="I31" s="27">
        <v>5</v>
      </c>
      <c r="J31" s="29">
        <v>128</v>
      </c>
      <c r="K31" s="27">
        <v>5</v>
      </c>
      <c r="L31" s="8"/>
      <c r="M31" s="8"/>
      <c r="N31" s="8"/>
      <c r="O31" s="8"/>
      <c r="P31" s="9">
        <f t="shared" si="0"/>
        <v>485</v>
      </c>
      <c r="Q31" s="9">
        <f t="shared" si="0"/>
        <v>20</v>
      </c>
      <c r="R31" s="33">
        <v>2</v>
      </c>
      <c r="T31" s="47">
        <f t="shared" si="1"/>
        <v>24.25</v>
      </c>
    </row>
    <row r="32" spans="1:21">
      <c r="A32" s="132" t="s">
        <v>160</v>
      </c>
      <c r="B32" s="135" t="s">
        <v>236</v>
      </c>
      <c r="C32" s="3">
        <v>2</v>
      </c>
      <c r="D32" s="28">
        <v>96</v>
      </c>
      <c r="E32" s="31">
        <v>4</v>
      </c>
      <c r="F32" s="32">
        <v>109</v>
      </c>
      <c r="G32" s="30">
        <v>4</v>
      </c>
      <c r="H32" s="26">
        <v>97</v>
      </c>
      <c r="I32" s="27">
        <v>4</v>
      </c>
      <c r="J32" s="29">
        <v>96</v>
      </c>
      <c r="K32" s="27">
        <v>4</v>
      </c>
      <c r="L32" s="8"/>
      <c r="M32" s="8"/>
      <c r="N32" s="8"/>
      <c r="O32" s="8"/>
      <c r="P32" s="9">
        <f t="shared" si="0"/>
        <v>398</v>
      </c>
      <c r="Q32" s="9">
        <f t="shared" si="0"/>
        <v>16</v>
      </c>
      <c r="R32" s="33">
        <v>3</v>
      </c>
      <c r="T32" s="47">
        <f t="shared" si="1"/>
        <v>24.875</v>
      </c>
    </row>
    <row r="33" spans="1:20">
      <c r="A33" s="132" t="s">
        <v>161</v>
      </c>
      <c r="B33" s="135" t="s">
        <v>118</v>
      </c>
      <c r="C33" s="3">
        <v>2</v>
      </c>
      <c r="D33" s="28">
        <v>69</v>
      </c>
      <c r="E33" s="31">
        <v>3</v>
      </c>
      <c r="F33" s="32">
        <v>81</v>
      </c>
      <c r="G33" s="30">
        <v>3</v>
      </c>
      <c r="H33" s="26">
        <v>81</v>
      </c>
      <c r="I33" s="27">
        <v>3</v>
      </c>
      <c r="J33" s="29">
        <v>72</v>
      </c>
      <c r="K33" s="27">
        <v>3</v>
      </c>
      <c r="L33" s="8"/>
      <c r="M33" s="8"/>
      <c r="N33" s="8"/>
      <c r="O33" s="8"/>
      <c r="P33" s="9">
        <f t="shared" si="0"/>
        <v>303</v>
      </c>
      <c r="Q33" s="9">
        <f t="shared" si="0"/>
        <v>12</v>
      </c>
      <c r="R33" s="33">
        <v>2</v>
      </c>
      <c r="T33" s="47">
        <f t="shared" si="1"/>
        <v>25.25</v>
      </c>
    </row>
    <row r="34" spans="1:20">
      <c r="A34" s="132" t="s">
        <v>162</v>
      </c>
      <c r="B34" s="135" t="s">
        <v>119</v>
      </c>
      <c r="C34" s="3">
        <v>2</v>
      </c>
      <c r="D34" s="28">
        <v>60</v>
      </c>
      <c r="E34" s="31">
        <v>3</v>
      </c>
      <c r="F34" s="32">
        <v>64</v>
      </c>
      <c r="G34" s="30">
        <v>3</v>
      </c>
      <c r="H34" s="26">
        <v>53</v>
      </c>
      <c r="I34" s="27">
        <v>2</v>
      </c>
      <c r="J34" s="29">
        <v>57</v>
      </c>
      <c r="K34" s="27">
        <v>2</v>
      </c>
      <c r="L34" s="8"/>
      <c r="M34" s="8"/>
      <c r="N34" s="8"/>
      <c r="O34" s="8"/>
      <c r="P34" s="9">
        <f t="shared" si="0"/>
        <v>234</v>
      </c>
      <c r="Q34" s="9">
        <f t="shared" si="0"/>
        <v>10</v>
      </c>
      <c r="R34" s="33">
        <v>1</v>
      </c>
      <c r="T34" s="47">
        <f t="shared" si="1"/>
        <v>23.4</v>
      </c>
    </row>
    <row r="35" spans="1:20">
      <c r="A35" s="132" t="s">
        <v>163</v>
      </c>
      <c r="B35" s="135" t="s">
        <v>120</v>
      </c>
      <c r="C35" s="3">
        <v>5</v>
      </c>
      <c r="D35" s="28">
        <v>46</v>
      </c>
      <c r="E35" s="31">
        <v>2</v>
      </c>
      <c r="F35" s="32">
        <v>48</v>
      </c>
      <c r="G35" s="30">
        <v>2</v>
      </c>
      <c r="H35" s="26">
        <v>50</v>
      </c>
      <c r="I35" s="27">
        <v>2</v>
      </c>
      <c r="J35" s="29">
        <v>52</v>
      </c>
      <c r="K35" s="27">
        <v>2</v>
      </c>
      <c r="L35" s="8"/>
      <c r="M35" s="8"/>
      <c r="N35" s="8"/>
      <c r="O35" s="8"/>
      <c r="P35" s="9">
        <f t="shared" si="0"/>
        <v>196</v>
      </c>
      <c r="Q35" s="9">
        <f t="shared" si="0"/>
        <v>8</v>
      </c>
      <c r="R35" s="33">
        <v>0</v>
      </c>
      <c r="T35" s="47">
        <f t="shared" si="1"/>
        <v>24.5</v>
      </c>
    </row>
    <row r="36" spans="1:20">
      <c r="A36" s="132" t="s">
        <v>164</v>
      </c>
      <c r="B36" s="135" t="s">
        <v>121</v>
      </c>
      <c r="C36" s="3">
        <v>5</v>
      </c>
      <c r="D36" s="28">
        <v>62</v>
      </c>
      <c r="E36" s="31">
        <v>3</v>
      </c>
      <c r="F36" s="32">
        <v>68</v>
      </c>
      <c r="G36" s="30">
        <v>3</v>
      </c>
      <c r="H36" s="26">
        <v>65</v>
      </c>
      <c r="I36" s="27">
        <v>3</v>
      </c>
      <c r="J36" s="29">
        <v>70</v>
      </c>
      <c r="K36" s="27">
        <v>3</v>
      </c>
      <c r="L36" s="8"/>
      <c r="M36" s="8"/>
      <c r="N36" s="8"/>
      <c r="O36" s="8"/>
      <c r="P36" s="9">
        <f t="shared" si="0"/>
        <v>265</v>
      </c>
      <c r="Q36" s="9">
        <f t="shared" si="0"/>
        <v>12</v>
      </c>
      <c r="R36" s="33">
        <v>1</v>
      </c>
      <c r="T36" s="47">
        <f t="shared" si="1"/>
        <v>22.083333333333332</v>
      </c>
    </row>
    <row r="37" spans="1:20">
      <c r="A37" s="132" t="s">
        <v>165</v>
      </c>
      <c r="B37" s="135" t="s">
        <v>237</v>
      </c>
      <c r="C37" s="3">
        <v>1</v>
      </c>
      <c r="D37" s="28">
        <v>60</v>
      </c>
      <c r="E37" s="31">
        <v>3</v>
      </c>
      <c r="F37" s="32">
        <v>57</v>
      </c>
      <c r="G37" s="30">
        <v>2</v>
      </c>
      <c r="H37" s="26">
        <v>79</v>
      </c>
      <c r="I37" s="27">
        <v>3</v>
      </c>
      <c r="J37" s="29">
        <v>71</v>
      </c>
      <c r="K37" s="27">
        <v>3</v>
      </c>
      <c r="L37" s="8"/>
      <c r="M37" s="8"/>
      <c r="N37" s="8"/>
      <c r="O37" s="8"/>
      <c r="P37" s="9">
        <f t="shared" si="0"/>
        <v>267</v>
      </c>
      <c r="Q37" s="9">
        <f t="shared" si="0"/>
        <v>11</v>
      </c>
      <c r="R37" s="33">
        <v>0</v>
      </c>
      <c r="T37" s="47">
        <f t="shared" si="1"/>
        <v>24.272727272727273</v>
      </c>
    </row>
    <row r="38" spans="1:20">
      <c r="A38" s="132" t="s">
        <v>166</v>
      </c>
      <c r="B38" s="135" t="s">
        <v>238</v>
      </c>
      <c r="C38" s="3">
        <v>2</v>
      </c>
      <c r="D38" s="28">
        <v>61</v>
      </c>
      <c r="E38" s="31">
        <v>3</v>
      </c>
      <c r="F38" s="32">
        <v>63</v>
      </c>
      <c r="G38" s="30">
        <v>3</v>
      </c>
      <c r="H38" s="26">
        <v>69</v>
      </c>
      <c r="I38" s="27">
        <v>3</v>
      </c>
      <c r="J38" s="29">
        <v>66</v>
      </c>
      <c r="K38" s="27">
        <v>3</v>
      </c>
      <c r="L38" s="8"/>
      <c r="M38" s="8"/>
      <c r="N38" s="8"/>
      <c r="O38" s="8"/>
      <c r="P38" s="9">
        <f t="shared" si="0"/>
        <v>259</v>
      </c>
      <c r="Q38" s="9">
        <f t="shared" si="0"/>
        <v>12</v>
      </c>
      <c r="R38" s="33">
        <v>2</v>
      </c>
      <c r="T38" s="47">
        <f t="shared" si="1"/>
        <v>21.583333333333332</v>
      </c>
    </row>
    <row r="39" spans="1:20">
      <c r="A39" s="132" t="s">
        <v>167</v>
      </c>
      <c r="B39" s="135" t="s">
        <v>122</v>
      </c>
      <c r="C39" s="3">
        <v>5</v>
      </c>
      <c r="D39" s="28">
        <v>72</v>
      </c>
      <c r="E39" s="31">
        <v>3</v>
      </c>
      <c r="F39" s="32">
        <v>78</v>
      </c>
      <c r="G39" s="30">
        <v>3</v>
      </c>
      <c r="H39" s="26">
        <v>89</v>
      </c>
      <c r="I39" s="27">
        <v>4</v>
      </c>
      <c r="J39" s="29">
        <v>90</v>
      </c>
      <c r="K39" s="27">
        <v>4</v>
      </c>
      <c r="L39" s="8"/>
      <c r="M39" s="8"/>
      <c r="N39" s="8"/>
      <c r="O39" s="8"/>
      <c r="P39" s="9">
        <f t="shared" si="0"/>
        <v>329</v>
      </c>
      <c r="Q39" s="9">
        <f t="shared" si="0"/>
        <v>14</v>
      </c>
      <c r="R39" s="33">
        <v>1</v>
      </c>
      <c r="T39" s="47">
        <f t="shared" si="1"/>
        <v>23.5</v>
      </c>
    </row>
    <row r="40" spans="1:20">
      <c r="A40" s="132" t="s">
        <v>168</v>
      </c>
      <c r="B40" s="135" t="s">
        <v>123</v>
      </c>
      <c r="C40" s="3">
        <v>5</v>
      </c>
      <c r="D40" s="28">
        <v>85</v>
      </c>
      <c r="E40" s="31">
        <v>4</v>
      </c>
      <c r="F40" s="32">
        <v>88</v>
      </c>
      <c r="G40" s="30">
        <v>4</v>
      </c>
      <c r="H40" s="26">
        <v>90</v>
      </c>
      <c r="I40" s="27">
        <v>4</v>
      </c>
      <c r="J40" s="29">
        <v>97</v>
      </c>
      <c r="K40" s="27">
        <v>4</v>
      </c>
      <c r="L40" s="8"/>
      <c r="M40" s="8"/>
      <c r="N40" s="8"/>
      <c r="O40" s="8"/>
      <c r="P40" s="9">
        <f t="shared" si="0"/>
        <v>360</v>
      </c>
      <c r="Q40" s="9">
        <f t="shared" si="0"/>
        <v>16</v>
      </c>
      <c r="R40" s="33">
        <v>1</v>
      </c>
      <c r="T40" s="47">
        <f t="shared" si="1"/>
        <v>22.5</v>
      </c>
    </row>
    <row r="41" spans="1:20">
      <c r="A41" s="132" t="s">
        <v>169</v>
      </c>
      <c r="B41" s="135" t="s">
        <v>239</v>
      </c>
      <c r="C41" s="3">
        <v>3</v>
      </c>
      <c r="D41" s="28">
        <v>182</v>
      </c>
      <c r="E41" s="31">
        <v>8</v>
      </c>
      <c r="F41" s="32">
        <v>188</v>
      </c>
      <c r="G41" s="30">
        <v>7</v>
      </c>
      <c r="H41" s="26">
        <v>215</v>
      </c>
      <c r="I41" s="27">
        <v>8</v>
      </c>
      <c r="J41" s="29">
        <v>204</v>
      </c>
      <c r="K41" s="27">
        <v>8</v>
      </c>
      <c r="L41" s="8"/>
      <c r="M41" s="8"/>
      <c r="N41" s="8"/>
      <c r="O41" s="8"/>
      <c r="P41" s="9">
        <f t="shared" si="0"/>
        <v>789</v>
      </c>
      <c r="Q41" s="9">
        <f t="shared" si="0"/>
        <v>31</v>
      </c>
      <c r="R41" s="33">
        <v>3</v>
      </c>
      <c r="T41" s="47">
        <f t="shared" si="1"/>
        <v>25.451612903225808</v>
      </c>
    </row>
    <row r="42" spans="1:20">
      <c r="A42" s="132" t="s">
        <v>170</v>
      </c>
      <c r="B42" s="135" t="s">
        <v>124</v>
      </c>
      <c r="C42" s="3">
        <v>4</v>
      </c>
      <c r="D42" s="28">
        <v>151</v>
      </c>
      <c r="E42" s="31">
        <v>6</v>
      </c>
      <c r="F42" s="32">
        <v>161</v>
      </c>
      <c r="G42" s="30">
        <v>6</v>
      </c>
      <c r="H42" s="26">
        <v>163</v>
      </c>
      <c r="I42" s="27">
        <v>6</v>
      </c>
      <c r="J42" s="29">
        <v>156</v>
      </c>
      <c r="K42" s="27">
        <v>6</v>
      </c>
      <c r="L42" s="8"/>
      <c r="M42" s="8"/>
      <c r="N42" s="8"/>
      <c r="O42" s="8"/>
      <c r="P42" s="9">
        <f t="shared" si="0"/>
        <v>631</v>
      </c>
      <c r="Q42" s="9">
        <f t="shared" si="0"/>
        <v>24</v>
      </c>
      <c r="R42" s="33">
        <v>1</v>
      </c>
      <c r="T42" s="47">
        <f t="shared" si="1"/>
        <v>26.291666666666668</v>
      </c>
    </row>
    <row r="43" spans="1:20">
      <c r="A43" s="132" t="s">
        <v>171</v>
      </c>
      <c r="B43" s="135" t="s">
        <v>240</v>
      </c>
      <c r="C43" s="3">
        <v>5</v>
      </c>
      <c r="D43" s="28">
        <v>68</v>
      </c>
      <c r="E43" s="31">
        <v>3</v>
      </c>
      <c r="F43" s="32">
        <v>68</v>
      </c>
      <c r="G43" s="30">
        <v>3</v>
      </c>
      <c r="H43" s="26">
        <v>81</v>
      </c>
      <c r="I43" s="27">
        <v>3</v>
      </c>
      <c r="J43" s="29">
        <v>78</v>
      </c>
      <c r="K43" s="27">
        <v>3</v>
      </c>
      <c r="L43" s="8"/>
      <c r="M43" s="8"/>
      <c r="N43" s="8"/>
      <c r="O43" s="8"/>
      <c r="P43" s="9">
        <f t="shared" si="0"/>
        <v>295</v>
      </c>
      <c r="Q43" s="9">
        <f t="shared" si="0"/>
        <v>12</v>
      </c>
      <c r="R43" s="33">
        <v>1</v>
      </c>
      <c r="T43" s="47">
        <f t="shared" si="1"/>
        <v>24.583333333333332</v>
      </c>
    </row>
    <row r="44" spans="1:20">
      <c r="A44" s="132" t="s">
        <v>172</v>
      </c>
      <c r="B44" s="135" t="s">
        <v>241</v>
      </c>
      <c r="C44" s="3">
        <v>3</v>
      </c>
      <c r="D44" s="28">
        <v>168</v>
      </c>
      <c r="E44" s="31">
        <v>7</v>
      </c>
      <c r="F44" s="32">
        <v>170</v>
      </c>
      <c r="G44" s="30">
        <v>6</v>
      </c>
      <c r="H44" s="26">
        <v>169</v>
      </c>
      <c r="I44" s="27">
        <v>6</v>
      </c>
      <c r="J44" s="29">
        <v>191</v>
      </c>
      <c r="K44" s="27">
        <v>7</v>
      </c>
      <c r="L44" s="8"/>
      <c r="M44" s="8"/>
      <c r="N44" s="8"/>
      <c r="O44" s="8"/>
      <c r="P44" s="9">
        <f t="shared" si="0"/>
        <v>698</v>
      </c>
      <c r="Q44" s="9">
        <f t="shared" si="0"/>
        <v>26</v>
      </c>
      <c r="R44" s="33">
        <v>0</v>
      </c>
      <c r="T44" s="47">
        <f t="shared" si="1"/>
        <v>26.846153846153847</v>
      </c>
    </row>
    <row r="45" spans="1:20">
      <c r="A45" s="132" t="s">
        <v>173</v>
      </c>
      <c r="B45" s="135" t="s">
        <v>125</v>
      </c>
      <c r="C45" s="3">
        <v>5</v>
      </c>
      <c r="D45" s="28">
        <v>137</v>
      </c>
      <c r="E45" s="31">
        <v>6</v>
      </c>
      <c r="F45" s="32">
        <v>152</v>
      </c>
      <c r="G45" s="30">
        <v>6</v>
      </c>
      <c r="H45" s="26">
        <v>122</v>
      </c>
      <c r="I45" s="27">
        <v>5</v>
      </c>
      <c r="J45" s="29">
        <v>135</v>
      </c>
      <c r="K45" s="27">
        <v>5</v>
      </c>
      <c r="L45" s="8"/>
      <c r="M45" s="8"/>
      <c r="N45" s="8"/>
      <c r="O45" s="8"/>
      <c r="P45" s="9">
        <f t="shared" si="0"/>
        <v>546</v>
      </c>
      <c r="Q45" s="9">
        <f t="shared" si="0"/>
        <v>22</v>
      </c>
      <c r="R45" s="33">
        <v>3</v>
      </c>
      <c r="T45" s="47">
        <f t="shared" si="1"/>
        <v>24.818181818181817</v>
      </c>
    </row>
    <row r="46" spans="1:20">
      <c r="A46" s="132" t="s">
        <v>174</v>
      </c>
      <c r="B46" s="135" t="s">
        <v>126</v>
      </c>
      <c r="C46" s="3">
        <v>5</v>
      </c>
      <c r="D46" s="28">
        <v>172</v>
      </c>
      <c r="E46" s="31">
        <v>7</v>
      </c>
      <c r="F46" s="32">
        <v>180</v>
      </c>
      <c r="G46" s="30">
        <v>7</v>
      </c>
      <c r="H46" s="26">
        <v>188</v>
      </c>
      <c r="I46" s="27">
        <v>7</v>
      </c>
      <c r="J46" s="29">
        <v>185</v>
      </c>
      <c r="K46" s="27">
        <v>7</v>
      </c>
      <c r="L46" s="8"/>
      <c r="M46" s="8"/>
      <c r="N46" s="8"/>
      <c r="O46" s="8"/>
      <c r="P46" s="9">
        <f t="shared" si="0"/>
        <v>725</v>
      </c>
      <c r="Q46" s="9">
        <f t="shared" si="0"/>
        <v>28</v>
      </c>
      <c r="R46" s="33">
        <v>1</v>
      </c>
      <c r="T46" s="47">
        <f t="shared" si="1"/>
        <v>25.892857142857142</v>
      </c>
    </row>
    <row r="47" spans="1:20">
      <c r="A47" s="132" t="s">
        <v>175</v>
      </c>
      <c r="B47" s="135" t="s">
        <v>243</v>
      </c>
      <c r="C47" s="3">
        <v>1</v>
      </c>
      <c r="D47" s="29">
        <v>100</v>
      </c>
      <c r="E47" s="31">
        <v>5</v>
      </c>
      <c r="F47" s="32">
        <v>106</v>
      </c>
      <c r="G47" s="30">
        <v>5</v>
      </c>
      <c r="H47" s="26">
        <v>103</v>
      </c>
      <c r="I47" s="27">
        <v>5</v>
      </c>
      <c r="J47" s="29">
        <v>105</v>
      </c>
      <c r="K47" s="27">
        <v>5</v>
      </c>
      <c r="L47" s="8"/>
      <c r="M47" s="8"/>
      <c r="N47" s="8"/>
      <c r="O47" s="8"/>
      <c r="P47" s="9">
        <f t="shared" si="0"/>
        <v>414</v>
      </c>
      <c r="Q47" s="9">
        <f t="shared" si="0"/>
        <v>20</v>
      </c>
      <c r="R47" s="33">
        <v>2</v>
      </c>
      <c r="T47" s="47">
        <f t="shared" si="1"/>
        <v>20.7</v>
      </c>
    </row>
    <row r="48" spans="1:20">
      <c r="A48" s="132" t="s">
        <v>176</v>
      </c>
      <c r="B48" s="135" t="s">
        <v>127</v>
      </c>
      <c r="C48" s="3">
        <v>5</v>
      </c>
      <c r="D48" s="28">
        <v>14</v>
      </c>
      <c r="E48" s="31">
        <v>1</v>
      </c>
      <c r="F48" s="46">
        <v>10</v>
      </c>
      <c r="G48" s="30">
        <v>1</v>
      </c>
      <c r="H48" s="26">
        <v>24</v>
      </c>
      <c r="I48" s="27">
        <v>2</v>
      </c>
      <c r="J48" s="29">
        <v>25</v>
      </c>
      <c r="K48" s="27">
        <v>2</v>
      </c>
      <c r="L48" s="8"/>
      <c r="M48" s="8"/>
      <c r="N48" s="8"/>
      <c r="O48" s="8"/>
      <c r="P48" s="9">
        <f t="shared" si="0"/>
        <v>73</v>
      </c>
      <c r="Q48" s="9">
        <f t="shared" si="0"/>
        <v>6</v>
      </c>
      <c r="R48" s="33">
        <v>0</v>
      </c>
      <c r="T48" s="47">
        <f t="shared" si="1"/>
        <v>12.166666666666666</v>
      </c>
    </row>
    <row r="49" spans="1:21">
      <c r="A49" s="132" t="s">
        <v>177</v>
      </c>
      <c r="B49" s="135" t="s">
        <v>242</v>
      </c>
      <c r="C49" s="3">
        <v>3</v>
      </c>
      <c r="D49" s="28">
        <v>96</v>
      </c>
      <c r="E49" s="31">
        <v>4</v>
      </c>
      <c r="F49" s="32">
        <v>106</v>
      </c>
      <c r="G49" s="30">
        <v>4</v>
      </c>
      <c r="H49" s="26">
        <v>123</v>
      </c>
      <c r="I49" s="27">
        <v>5</v>
      </c>
      <c r="J49" s="29">
        <v>112</v>
      </c>
      <c r="K49" s="27">
        <v>4</v>
      </c>
      <c r="L49" s="8"/>
      <c r="M49" s="8"/>
      <c r="N49" s="8"/>
      <c r="O49" s="8"/>
      <c r="P49" s="9">
        <f t="shared" si="0"/>
        <v>437</v>
      </c>
      <c r="Q49" s="9">
        <f t="shared" si="0"/>
        <v>17</v>
      </c>
      <c r="R49" s="33">
        <v>0</v>
      </c>
      <c r="T49" s="47">
        <f t="shared" si="1"/>
        <v>25.705882352941178</v>
      </c>
    </row>
    <row r="50" spans="1:21">
      <c r="A50" s="132" t="s">
        <v>95</v>
      </c>
      <c r="B50" s="135" t="s">
        <v>128</v>
      </c>
      <c r="C50" s="3">
        <v>5</v>
      </c>
      <c r="D50" s="28">
        <v>0</v>
      </c>
      <c r="E50" s="31">
        <v>0</v>
      </c>
      <c r="F50" s="32">
        <v>0</v>
      </c>
      <c r="G50" s="30">
        <v>0</v>
      </c>
      <c r="H50" s="26">
        <v>43</v>
      </c>
      <c r="I50" s="27">
        <v>2</v>
      </c>
      <c r="J50" s="29">
        <v>43</v>
      </c>
      <c r="K50" s="27">
        <v>2</v>
      </c>
      <c r="L50" s="8">
        <v>80</v>
      </c>
      <c r="M50" s="8">
        <v>2</v>
      </c>
      <c r="N50" s="8">
        <v>1</v>
      </c>
      <c r="O50" s="8">
        <v>1</v>
      </c>
      <c r="P50" s="9">
        <f>D50+F50+H50+J50+L50</f>
        <v>166</v>
      </c>
      <c r="Q50" s="9">
        <f>E50+G50+I50+K50+M50+N50+O50</f>
        <v>8</v>
      </c>
      <c r="R50" s="33">
        <v>0</v>
      </c>
      <c r="T50" s="47">
        <f t="shared" si="1"/>
        <v>20.75</v>
      </c>
      <c r="U50" s="126">
        <f>(P50-L50)/(Q50-M50-N50-O50)</f>
        <v>21.5</v>
      </c>
    </row>
    <row r="51" spans="1:21">
      <c r="A51" s="132" t="s">
        <v>178</v>
      </c>
      <c r="B51" s="135" t="s">
        <v>129</v>
      </c>
      <c r="C51" s="3">
        <v>5</v>
      </c>
      <c r="D51" s="28">
        <v>163</v>
      </c>
      <c r="E51" s="31">
        <v>7</v>
      </c>
      <c r="F51" s="32">
        <v>168</v>
      </c>
      <c r="G51" s="30">
        <v>6</v>
      </c>
      <c r="H51" s="26">
        <v>165</v>
      </c>
      <c r="I51" s="27">
        <v>6</v>
      </c>
      <c r="J51" s="29">
        <v>153</v>
      </c>
      <c r="K51" s="27">
        <v>6</v>
      </c>
      <c r="L51" s="8"/>
      <c r="M51" s="8"/>
      <c r="N51" s="8"/>
      <c r="O51" s="8"/>
      <c r="P51" s="9">
        <f t="shared" si="0"/>
        <v>649</v>
      </c>
      <c r="Q51" s="9">
        <f t="shared" si="0"/>
        <v>25</v>
      </c>
      <c r="R51" s="34">
        <v>1</v>
      </c>
      <c r="T51" s="47">
        <f t="shared" si="1"/>
        <v>25.96</v>
      </c>
    </row>
    <row r="52" spans="1:21">
      <c r="A52" s="133" t="s">
        <v>179</v>
      </c>
      <c r="B52" s="135" t="s">
        <v>130</v>
      </c>
      <c r="C52" s="3">
        <v>4</v>
      </c>
      <c r="D52" s="28">
        <v>90</v>
      </c>
      <c r="E52" s="31">
        <v>4</v>
      </c>
      <c r="F52" s="32">
        <v>92</v>
      </c>
      <c r="G52" s="30">
        <v>4</v>
      </c>
      <c r="H52" s="26">
        <v>92</v>
      </c>
      <c r="I52" s="27">
        <v>4</v>
      </c>
      <c r="J52" s="29">
        <v>112</v>
      </c>
      <c r="K52" s="27">
        <v>4</v>
      </c>
      <c r="L52" s="8"/>
      <c r="M52" s="8"/>
      <c r="N52" s="8"/>
      <c r="O52" s="8"/>
      <c r="P52" s="9">
        <f t="shared" si="0"/>
        <v>386</v>
      </c>
      <c r="Q52" s="9">
        <f t="shared" si="0"/>
        <v>16</v>
      </c>
      <c r="R52" s="33">
        <v>2</v>
      </c>
      <c r="T52" s="47">
        <f t="shared" si="1"/>
        <v>24.125</v>
      </c>
    </row>
    <row r="53" spans="1:21">
      <c r="B53" s="139" t="s">
        <v>277</v>
      </c>
      <c r="C53" s="140"/>
      <c r="D53" s="87">
        <f t="shared" ref="D53:O53" si="2">SUM(D7:D52)</f>
        <v>4620</v>
      </c>
      <c r="E53" s="87">
        <f t="shared" si="2"/>
        <v>205</v>
      </c>
      <c r="F53" s="87">
        <f t="shared" si="2"/>
        <v>4836</v>
      </c>
      <c r="G53" s="87">
        <f t="shared" si="2"/>
        <v>191</v>
      </c>
      <c r="H53" s="87">
        <f t="shared" si="2"/>
        <v>5097</v>
      </c>
      <c r="I53" s="87">
        <f t="shared" si="2"/>
        <v>201</v>
      </c>
      <c r="J53" s="87">
        <f t="shared" si="2"/>
        <v>5071</v>
      </c>
      <c r="K53" s="87">
        <f t="shared" si="2"/>
        <v>199</v>
      </c>
      <c r="L53" s="87">
        <f t="shared" si="2"/>
        <v>99</v>
      </c>
      <c r="M53" s="87">
        <f t="shared" si="2"/>
        <v>3</v>
      </c>
      <c r="N53" s="87">
        <f t="shared" si="2"/>
        <v>1</v>
      </c>
      <c r="O53" s="87">
        <f t="shared" si="2"/>
        <v>1</v>
      </c>
      <c r="P53" s="87">
        <f>D53+F53+H53+J53+L53</f>
        <v>19723</v>
      </c>
      <c r="Q53" s="87">
        <f>E53+G53+I53+K53++M53+N53+O53</f>
        <v>801</v>
      </c>
      <c r="R53" s="87">
        <f>SUM(R7:R52)</f>
        <v>54</v>
      </c>
      <c r="S53" s="88"/>
      <c r="T53" s="89">
        <f t="shared" si="1"/>
        <v>24.622971285892636</v>
      </c>
    </row>
    <row r="55" spans="1:21">
      <c r="A55" s="57"/>
      <c r="B55" s="57"/>
      <c r="C55" s="57"/>
      <c r="D55" s="57"/>
      <c r="E55" s="57"/>
      <c r="P55" s="21">
        <v>19647</v>
      </c>
    </row>
  </sheetData>
  <mergeCells count="4">
    <mergeCell ref="F1:J1"/>
    <mergeCell ref="F2:J2"/>
    <mergeCell ref="F3:J3"/>
    <mergeCell ref="B53:C53"/>
  </mergeCells>
  <pageMargins left="0.7" right="0.7" top="0.75" bottom="0.75" header="0.3" footer="0.3"/>
  <pageSetup paperSize="8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26"/>
  <sheetViews>
    <sheetView tabSelected="1" view="pageBreakPreview" zoomScale="60" zoomScaleNormal="100" workbookViewId="0">
      <selection activeCell="J4" sqref="J4"/>
    </sheetView>
  </sheetViews>
  <sheetFormatPr baseColWidth="10" defaultRowHeight="15"/>
  <cols>
    <col min="1" max="1" width="23.85546875" customWidth="1"/>
    <col min="2" max="2" width="15.7109375" customWidth="1"/>
    <col min="3" max="3" width="24.85546875" customWidth="1"/>
    <col min="11" max="11" width="6.85546875" customWidth="1"/>
    <col min="12" max="13" width="11.42578125" style="36"/>
  </cols>
  <sheetData>
    <row r="1" spans="1:13" ht="15.75">
      <c r="C1" s="138" t="s">
        <v>274</v>
      </c>
      <c r="D1" s="138"/>
      <c r="E1" s="138"/>
      <c r="F1" s="138"/>
      <c r="G1" s="138"/>
      <c r="H1" s="138"/>
    </row>
    <row r="2" spans="1:13" ht="15.75">
      <c r="D2" s="138" t="s">
        <v>247</v>
      </c>
      <c r="E2" s="138"/>
      <c r="F2" s="138"/>
      <c r="G2" s="138"/>
      <c r="H2" s="138"/>
    </row>
    <row r="3" spans="1:13" ht="15.75">
      <c r="D3" s="141" t="s">
        <v>257</v>
      </c>
      <c r="E3" s="141"/>
      <c r="F3" s="141"/>
      <c r="G3" s="141"/>
      <c r="H3" s="141"/>
    </row>
    <row r="5" spans="1:13">
      <c r="A5" s="10" t="s">
        <v>276</v>
      </c>
    </row>
    <row r="6" spans="1:13" ht="15.75" thickBot="1"/>
    <row r="7" spans="1:13" s="10" customFormat="1" ht="75">
      <c r="A7" s="52" t="s">
        <v>180</v>
      </c>
      <c r="B7" s="52" t="s">
        <v>181</v>
      </c>
      <c r="C7" s="52" t="s">
        <v>1</v>
      </c>
      <c r="D7" s="52" t="s">
        <v>0</v>
      </c>
      <c r="E7" s="52" t="s">
        <v>182</v>
      </c>
      <c r="F7" s="52" t="s">
        <v>183</v>
      </c>
      <c r="G7" s="52" t="s">
        <v>184</v>
      </c>
      <c r="H7" s="53" t="s">
        <v>10</v>
      </c>
      <c r="I7" s="53" t="s">
        <v>11</v>
      </c>
      <c r="J7" s="53" t="s">
        <v>100</v>
      </c>
      <c r="L7" s="53" t="s">
        <v>250</v>
      </c>
      <c r="M7" s="53" t="s">
        <v>251</v>
      </c>
    </row>
    <row r="8" spans="1:13">
      <c r="A8" s="11" t="s">
        <v>185</v>
      </c>
      <c r="B8" s="12" t="s">
        <v>186</v>
      </c>
      <c r="C8" s="12" t="s">
        <v>102</v>
      </c>
      <c r="D8" s="74">
        <v>55</v>
      </c>
      <c r="E8" s="74">
        <v>4</v>
      </c>
      <c r="F8" s="75">
        <v>93.5</v>
      </c>
      <c r="G8" s="75">
        <v>36</v>
      </c>
      <c r="H8" s="13">
        <f t="shared" ref="H8:H20" si="0">G8+F8-I8</f>
        <v>129.5</v>
      </c>
      <c r="I8" s="14">
        <v>0</v>
      </c>
      <c r="J8" s="14">
        <f>H8+I8</f>
        <v>129.5</v>
      </c>
      <c r="L8" s="14">
        <f>D8/E8</f>
        <v>13.75</v>
      </c>
      <c r="M8" s="51">
        <f>J8/D8</f>
        <v>2.3545454545454545</v>
      </c>
    </row>
    <row r="9" spans="1:13">
      <c r="A9" s="11" t="s">
        <v>187</v>
      </c>
      <c r="B9" s="12" t="s">
        <v>188</v>
      </c>
      <c r="C9" s="12" t="s">
        <v>103</v>
      </c>
      <c r="D9" s="74">
        <v>58</v>
      </c>
      <c r="E9" s="74">
        <v>4</v>
      </c>
      <c r="F9" s="75">
        <v>93.5</v>
      </c>
      <c r="G9" s="75">
        <v>36</v>
      </c>
      <c r="H9" s="13">
        <f t="shared" si="0"/>
        <v>129.5</v>
      </c>
      <c r="I9" s="14">
        <v>0</v>
      </c>
      <c r="J9" s="14">
        <f t="shared" ref="J9:J24" si="1">H9+I9</f>
        <v>129.5</v>
      </c>
      <c r="L9" s="14">
        <f t="shared" ref="L9:L25" si="2">D9/E9</f>
        <v>14.5</v>
      </c>
      <c r="M9" s="51">
        <f t="shared" ref="M9:M25" si="3">J9/D9</f>
        <v>2.2327586206896552</v>
      </c>
    </row>
    <row r="10" spans="1:13">
      <c r="A10" s="11" t="s">
        <v>189</v>
      </c>
      <c r="B10" s="12" t="s">
        <v>190</v>
      </c>
      <c r="C10" s="12" t="s">
        <v>104</v>
      </c>
      <c r="D10" s="74">
        <v>54</v>
      </c>
      <c r="E10" s="74">
        <v>4</v>
      </c>
      <c r="F10" s="75">
        <v>93.5</v>
      </c>
      <c r="G10" s="75">
        <v>36</v>
      </c>
      <c r="H10" s="13">
        <f t="shared" si="0"/>
        <v>129.5</v>
      </c>
      <c r="I10" s="14">
        <v>0</v>
      </c>
      <c r="J10" s="14">
        <f t="shared" si="1"/>
        <v>129.5</v>
      </c>
      <c r="L10" s="14">
        <f t="shared" si="2"/>
        <v>13.5</v>
      </c>
      <c r="M10" s="51">
        <f t="shared" si="3"/>
        <v>2.3981481481481484</v>
      </c>
    </row>
    <row r="11" spans="1:13">
      <c r="A11" s="11" t="s">
        <v>191</v>
      </c>
      <c r="B11" s="12" t="s">
        <v>192</v>
      </c>
      <c r="C11" s="12" t="s">
        <v>193</v>
      </c>
      <c r="D11" s="74">
        <v>61</v>
      </c>
      <c r="E11" s="74">
        <v>4</v>
      </c>
      <c r="F11" s="75">
        <v>93.5</v>
      </c>
      <c r="G11" s="75">
        <v>54</v>
      </c>
      <c r="H11" s="13">
        <f t="shared" si="0"/>
        <v>147.5</v>
      </c>
      <c r="I11" s="14">
        <v>0</v>
      </c>
      <c r="J11" s="14">
        <f t="shared" si="1"/>
        <v>147.5</v>
      </c>
      <c r="L11" s="14">
        <f t="shared" si="2"/>
        <v>15.25</v>
      </c>
      <c r="M11" s="51">
        <f t="shared" si="3"/>
        <v>2.418032786885246</v>
      </c>
    </row>
    <row r="12" spans="1:13">
      <c r="A12" s="11" t="s">
        <v>194</v>
      </c>
      <c r="B12" s="12" t="s">
        <v>195</v>
      </c>
      <c r="C12" s="12" t="s">
        <v>105</v>
      </c>
      <c r="D12" s="74">
        <v>45</v>
      </c>
      <c r="E12" s="74">
        <v>4</v>
      </c>
      <c r="F12" s="75">
        <v>93.5</v>
      </c>
      <c r="G12" s="75">
        <v>36</v>
      </c>
      <c r="H12" s="13">
        <f t="shared" si="0"/>
        <v>129.5</v>
      </c>
      <c r="I12" s="14">
        <v>0</v>
      </c>
      <c r="J12" s="14">
        <f t="shared" si="1"/>
        <v>129.5</v>
      </c>
      <c r="L12" s="14">
        <f t="shared" si="2"/>
        <v>11.25</v>
      </c>
      <c r="M12" s="51">
        <f t="shared" si="3"/>
        <v>2.8777777777777778</v>
      </c>
    </row>
    <row r="13" spans="1:13">
      <c r="A13" s="11" t="s">
        <v>196</v>
      </c>
      <c r="B13" s="12" t="s">
        <v>197</v>
      </c>
      <c r="C13" s="12" t="s">
        <v>198</v>
      </c>
      <c r="D13" s="74">
        <v>49</v>
      </c>
      <c r="E13" s="74">
        <v>4</v>
      </c>
      <c r="F13" s="75">
        <v>93.5</v>
      </c>
      <c r="G13" s="75">
        <v>36</v>
      </c>
      <c r="H13" s="13">
        <f t="shared" si="0"/>
        <v>129.5</v>
      </c>
      <c r="I13" s="14">
        <v>0</v>
      </c>
      <c r="J13" s="14">
        <f t="shared" si="1"/>
        <v>129.5</v>
      </c>
      <c r="L13" s="14">
        <f t="shared" si="2"/>
        <v>12.25</v>
      </c>
      <c r="M13" s="51">
        <f t="shared" si="3"/>
        <v>2.6428571428571428</v>
      </c>
    </row>
    <row r="14" spans="1:13">
      <c r="A14" s="11" t="s">
        <v>199</v>
      </c>
      <c r="B14" s="12" t="s">
        <v>200</v>
      </c>
      <c r="C14" s="12" t="s">
        <v>110</v>
      </c>
      <c r="D14" s="74">
        <v>0</v>
      </c>
      <c r="E14" s="74">
        <v>0</v>
      </c>
      <c r="F14" s="75">
        <v>0</v>
      </c>
      <c r="G14" s="75">
        <v>0</v>
      </c>
      <c r="H14" s="20">
        <f t="shared" si="0"/>
        <v>0</v>
      </c>
      <c r="I14" s="14">
        <v>0</v>
      </c>
      <c r="J14" s="14">
        <f t="shared" si="1"/>
        <v>0</v>
      </c>
      <c r="L14" s="14"/>
      <c r="M14" s="51"/>
    </row>
    <row r="15" spans="1:13">
      <c r="A15" s="11" t="s">
        <v>201</v>
      </c>
      <c r="B15" s="12" t="s">
        <v>202</v>
      </c>
      <c r="C15" s="12" t="s">
        <v>111</v>
      </c>
      <c r="D15" s="74">
        <v>24</v>
      </c>
      <c r="E15" s="74">
        <v>4</v>
      </c>
      <c r="F15" s="75">
        <v>93.5</v>
      </c>
      <c r="G15" s="75">
        <v>36</v>
      </c>
      <c r="H15" s="13">
        <f t="shared" si="0"/>
        <v>129.5</v>
      </c>
      <c r="I15" s="14">
        <v>0</v>
      </c>
      <c r="J15" s="14">
        <f t="shared" si="1"/>
        <v>129.5</v>
      </c>
      <c r="L15" s="14">
        <f t="shared" si="2"/>
        <v>6</v>
      </c>
      <c r="M15" s="51">
        <f t="shared" si="3"/>
        <v>5.395833333333333</v>
      </c>
    </row>
    <row r="16" spans="1:13" ht="15.75" thickBot="1">
      <c r="A16" s="15" t="s">
        <v>203</v>
      </c>
      <c r="B16" s="12" t="s">
        <v>204</v>
      </c>
      <c r="C16" s="12" t="s">
        <v>112</v>
      </c>
      <c r="D16" s="74">
        <v>33</v>
      </c>
      <c r="E16" s="74">
        <v>4</v>
      </c>
      <c r="F16" s="75">
        <v>93.5</v>
      </c>
      <c r="G16" s="75">
        <v>36</v>
      </c>
      <c r="H16" s="13">
        <f t="shared" si="0"/>
        <v>129.5</v>
      </c>
      <c r="I16" s="14">
        <v>0</v>
      </c>
      <c r="J16" s="14">
        <f t="shared" si="1"/>
        <v>129.5</v>
      </c>
      <c r="L16" s="14">
        <f t="shared" si="2"/>
        <v>8.25</v>
      </c>
      <c r="M16" s="51">
        <f t="shared" si="3"/>
        <v>3.9242424242424243</v>
      </c>
    </row>
    <row r="17" spans="1:13">
      <c r="A17" s="11" t="s">
        <v>205</v>
      </c>
      <c r="B17" s="12" t="s">
        <v>206</v>
      </c>
      <c r="C17" s="12" t="s">
        <v>116</v>
      </c>
      <c r="D17" s="74">
        <v>49</v>
      </c>
      <c r="E17" s="74">
        <v>4</v>
      </c>
      <c r="F17" s="75">
        <v>93.5</v>
      </c>
      <c r="G17" s="75">
        <v>36</v>
      </c>
      <c r="H17" s="13">
        <f t="shared" si="0"/>
        <v>129.5</v>
      </c>
      <c r="I17" s="14">
        <v>0</v>
      </c>
      <c r="J17" s="14">
        <f>H17+I17</f>
        <v>129.5</v>
      </c>
      <c r="L17" s="14">
        <f t="shared" si="2"/>
        <v>12.25</v>
      </c>
      <c r="M17" s="51">
        <f t="shared" si="3"/>
        <v>2.6428571428571428</v>
      </c>
    </row>
    <row r="18" spans="1:13">
      <c r="A18" s="11" t="s">
        <v>207</v>
      </c>
      <c r="B18" s="12" t="s">
        <v>208</v>
      </c>
      <c r="C18" s="12" t="s">
        <v>227</v>
      </c>
      <c r="D18" s="74">
        <v>56</v>
      </c>
      <c r="E18" s="74">
        <v>4</v>
      </c>
      <c r="F18" s="75">
        <v>93.5</v>
      </c>
      <c r="G18" s="75">
        <v>36</v>
      </c>
      <c r="H18" s="13">
        <f t="shared" si="0"/>
        <v>129.5</v>
      </c>
      <c r="I18" s="14">
        <v>0</v>
      </c>
      <c r="J18" s="14">
        <f t="shared" si="1"/>
        <v>129.5</v>
      </c>
      <c r="L18" s="14">
        <f t="shared" si="2"/>
        <v>14</v>
      </c>
      <c r="M18" s="51">
        <f t="shared" si="3"/>
        <v>2.3125</v>
      </c>
    </row>
    <row r="19" spans="1:13">
      <c r="A19" s="11" t="s">
        <v>209</v>
      </c>
      <c r="B19" s="12" t="s">
        <v>210</v>
      </c>
      <c r="C19" s="12" t="s">
        <v>117</v>
      </c>
      <c r="D19" s="74">
        <v>69</v>
      </c>
      <c r="E19" s="74">
        <v>4</v>
      </c>
      <c r="F19" s="75">
        <v>93.5</v>
      </c>
      <c r="G19" s="75">
        <v>36</v>
      </c>
      <c r="H19" s="13">
        <f t="shared" si="0"/>
        <v>129.5</v>
      </c>
      <c r="I19" s="14">
        <v>0</v>
      </c>
      <c r="J19" s="14">
        <f t="shared" si="1"/>
        <v>129.5</v>
      </c>
      <c r="L19" s="14">
        <f t="shared" si="2"/>
        <v>17.25</v>
      </c>
      <c r="M19" s="51">
        <f t="shared" si="3"/>
        <v>1.8768115942028984</v>
      </c>
    </row>
    <row r="20" spans="1:13">
      <c r="A20" s="11" t="s">
        <v>211</v>
      </c>
      <c r="B20" s="12" t="s">
        <v>212</v>
      </c>
      <c r="C20" s="12" t="s">
        <v>213</v>
      </c>
      <c r="D20" s="74">
        <v>81</v>
      </c>
      <c r="E20" s="74">
        <v>5</v>
      </c>
      <c r="F20" s="75">
        <v>115.5</v>
      </c>
      <c r="G20" s="75">
        <v>48</v>
      </c>
      <c r="H20" s="13">
        <f t="shared" si="0"/>
        <v>163.5</v>
      </c>
      <c r="I20" s="14">
        <v>0</v>
      </c>
      <c r="J20" s="14">
        <f t="shared" si="1"/>
        <v>163.5</v>
      </c>
      <c r="L20" s="14">
        <f t="shared" si="2"/>
        <v>16.2</v>
      </c>
      <c r="M20" s="51">
        <f t="shared" si="3"/>
        <v>2.0185185185185186</v>
      </c>
    </row>
    <row r="21" spans="1:13">
      <c r="A21" s="11" t="s">
        <v>214</v>
      </c>
      <c r="B21" s="12" t="s">
        <v>215</v>
      </c>
      <c r="C21" s="12" t="s">
        <v>118</v>
      </c>
      <c r="D21" s="74">
        <v>57</v>
      </c>
      <c r="E21" s="74">
        <v>4</v>
      </c>
      <c r="F21" s="75">
        <v>93.5</v>
      </c>
      <c r="G21" s="75">
        <v>36</v>
      </c>
      <c r="H21" s="13">
        <f>G21+F21-I21</f>
        <v>129.5</v>
      </c>
      <c r="I21" s="14">
        <v>0</v>
      </c>
      <c r="J21" s="14">
        <f t="shared" si="1"/>
        <v>129.5</v>
      </c>
      <c r="L21" s="14">
        <f t="shared" si="2"/>
        <v>14.25</v>
      </c>
      <c r="M21" s="51">
        <f t="shared" si="3"/>
        <v>2.2719298245614037</v>
      </c>
    </row>
    <row r="22" spans="1:13">
      <c r="A22" s="11" t="s">
        <v>216</v>
      </c>
      <c r="B22" s="12" t="s">
        <v>217</v>
      </c>
      <c r="C22" s="12" t="s">
        <v>218</v>
      </c>
      <c r="D22" s="74">
        <v>59</v>
      </c>
      <c r="E22" s="74">
        <v>4</v>
      </c>
      <c r="F22" s="75">
        <v>93.5</v>
      </c>
      <c r="G22" s="75">
        <v>36</v>
      </c>
      <c r="H22" s="13">
        <f>G22+F22-I22</f>
        <v>129.5</v>
      </c>
      <c r="I22" s="14">
        <v>0</v>
      </c>
      <c r="J22" s="14">
        <f t="shared" si="1"/>
        <v>129.5</v>
      </c>
      <c r="L22" s="14">
        <f t="shared" si="2"/>
        <v>14.75</v>
      </c>
      <c r="M22" s="51">
        <f t="shared" si="3"/>
        <v>2.1949152542372881</v>
      </c>
    </row>
    <row r="23" spans="1:13">
      <c r="A23" s="11" t="s">
        <v>209</v>
      </c>
      <c r="B23" s="16" t="s">
        <v>219</v>
      </c>
      <c r="C23" s="16" t="s">
        <v>220</v>
      </c>
      <c r="D23" s="74">
        <v>50</v>
      </c>
      <c r="E23" s="74">
        <v>4</v>
      </c>
      <c r="F23" s="75">
        <v>93.5</v>
      </c>
      <c r="G23" s="75">
        <v>36</v>
      </c>
      <c r="H23" s="13">
        <f>G23+F23-I23</f>
        <v>129.5</v>
      </c>
      <c r="I23" s="14">
        <v>0</v>
      </c>
      <c r="J23" s="14">
        <f t="shared" si="1"/>
        <v>129.5</v>
      </c>
      <c r="L23" s="14">
        <f t="shared" si="2"/>
        <v>12.5</v>
      </c>
      <c r="M23" s="51">
        <f t="shared" si="3"/>
        <v>2.59</v>
      </c>
    </row>
    <row r="24" spans="1:13">
      <c r="A24" s="22" t="s">
        <v>191</v>
      </c>
      <c r="B24" s="16" t="s">
        <v>221</v>
      </c>
      <c r="C24" s="16" t="s">
        <v>226</v>
      </c>
      <c r="D24" s="76">
        <v>46</v>
      </c>
      <c r="E24" s="76">
        <v>4</v>
      </c>
      <c r="F24" s="77">
        <v>93.5</v>
      </c>
      <c r="G24" s="77">
        <v>36</v>
      </c>
      <c r="H24" s="23">
        <f>G24+F24-I24</f>
        <v>129.5</v>
      </c>
      <c r="I24" s="24">
        <v>0</v>
      </c>
      <c r="J24" s="24">
        <f t="shared" si="1"/>
        <v>129.5</v>
      </c>
      <c r="L24" s="14">
        <f t="shared" si="2"/>
        <v>11.5</v>
      </c>
      <c r="M24" s="51">
        <f t="shared" si="3"/>
        <v>2.8152173913043477</v>
      </c>
    </row>
    <row r="25" spans="1:13" s="10" customFormat="1" ht="15.75">
      <c r="A25" s="122"/>
      <c r="B25" s="123"/>
      <c r="C25" s="124" t="s">
        <v>50</v>
      </c>
      <c r="D25" s="79">
        <f>SUM(D8:D24)</f>
        <v>846</v>
      </c>
      <c r="E25" s="79">
        <f t="shared" ref="E25:J25" si="4">SUM(E8:E24)</f>
        <v>65</v>
      </c>
      <c r="F25" s="79">
        <f t="shared" si="4"/>
        <v>1518</v>
      </c>
      <c r="G25" s="79">
        <f t="shared" si="4"/>
        <v>606</v>
      </c>
      <c r="H25" s="79">
        <f t="shared" si="4"/>
        <v>2124</v>
      </c>
      <c r="I25" s="79">
        <f t="shared" si="4"/>
        <v>0</v>
      </c>
      <c r="J25" s="79">
        <f t="shared" si="4"/>
        <v>2124</v>
      </c>
      <c r="K25" s="115"/>
      <c r="L25" s="80">
        <f t="shared" si="2"/>
        <v>13.015384615384615</v>
      </c>
      <c r="M25" s="80">
        <f t="shared" si="3"/>
        <v>2.5106382978723403</v>
      </c>
    </row>
    <row r="26" spans="1:13" s="10" customFormat="1">
      <c r="A26" s="38"/>
      <c r="B26" s="44"/>
      <c r="C26" s="44"/>
      <c r="D26" s="45"/>
      <c r="E26" s="45"/>
      <c r="F26" s="45"/>
      <c r="G26" s="45"/>
      <c r="H26" s="45"/>
      <c r="I26" s="45"/>
      <c r="J26" s="45"/>
      <c r="L26" s="45"/>
      <c r="M26" s="45"/>
    </row>
  </sheetData>
  <mergeCells count="3">
    <mergeCell ref="D2:H2"/>
    <mergeCell ref="D3:H3"/>
    <mergeCell ref="C1:H1"/>
  </mergeCell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35"/>
  <sheetViews>
    <sheetView workbookViewId="0">
      <selection activeCell="O30" sqref="O30"/>
    </sheetView>
  </sheetViews>
  <sheetFormatPr baseColWidth="10" defaultRowHeight="15"/>
  <cols>
    <col min="1" max="1" width="37.42578125" customWidth="1"/>
    <col min="3" max="3" width="14.5703125" customWidth="1"/>
    <col min="4" max="4" width="13.42578125" customWidth="1"/>
    <col min="5" max="5" width="14.7109375" customWidth="1"/>
    <col min="12" max="12" width="1.5703125" customWidth="1"/>
    <col min="19" max="19" width="13" customWidth="1"/>
  </cols>
  <sheetData>
    <row r="1" spans="1:21">
      <c r="A1" s="57"/>
      <c r="B1" s="57"/>
      <c r="C1" s="57"/>
      <c r="E1" s="10"/>
      <c r="F1" s="10"/>
      <c r="G1" s="10"/>
      <c r="H1" s="10"/>
      <c r="I1" s="10"/>
      <c r="J1" s="10"/>
      <c r="K1" s="10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" customHeight="1">
      <c r="A2" s="57"/>
      <c r="B2" s="57"/>
      <c r="C2" s="57"/>
      <c r="F2" s="138" t="s">
        <v>274</v>
      </c>
      <c r="G2" s="138"/>
      <c r="H2" s="138"/>
      <c r="I2" s="138"/>
      <c r="J2" s="138"/>
      <c r="K2" s="138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 customHeight="1">
      <c r="A3" s="57"/>
      <c r="B3" s="57"/>
      <c r="C3" s="57"/>
      <c r="F3" s="138" t="s">
        <v>280</v>
      </c>
      <c r="G3" s="138"/>
      <c r="H3" s="138"/>
      <c r="I3" s="138"/>
      <c r="J3" s="138"/>
      <c r="K3" s="138"/>
      <c r="L3" s="10"/>
      <c r="M3" s="10"/>
      <c r="N3" s="10"/>
      <c r="O3" s="10"/>
      <c r="P3" s="57"/>
      <c r="Q3" s="57"/>
      <c r="R3" s="57"/>
      <c r="S3" s="57"/>
      <c r="T3" s="57"/>
      <c r="U3" s="57"/>
    </row>
    <row r="4" spans="1:21" ht="18" customHeight="1">
      <c r="A4" s="57"/>
      <c r="B4" s="57"/>
      <c r="C4" s="57"/>
      <c r="E4" s="129"/>
      <c r="F4" s="141" t="s">
        <v>260</v>
      </c>
      <c r="G4" s="141"/>
      <c r="H4" s="141"/>
      <c r="I4" s="141"/>
      <c r="J4" s="141"/>
      <c r="K4" s="141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18" customHeight="1">
      <c r="A5" s="10" t="s">
        <v>276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ht="26.25" customHeight="1">
      <c r="A6" s="1"/>
      <c r="B6" s="2"/>
      <c r="C6" s="152" t="s">
        <v>0</v>
      </c>
      <c r="D6" s="152"/>
      <c r="E6" s="152"/>
      <c r="F6" s="152"/>
      <c r="G6" s="152"/>
      <c r="H6" s="152" t="s">
        <v>87</v>
      </c>
      <c r="I6" s="152"/>
      <c r="J6" s="152"/>
      <c r="K6" s="152"/>
      <c r="L6" s="152"/>
      <c r="M6" s="100"/>
      <c r="N6" s="152" t="s">
        <v>256</v>
      </c>
      <c r="O6" s="152"/>
      <c r="P6" s="152"/>
      <c r="Q6" s="152"/>
      <c r="R6" s="152"/>
      <c r="S6" s="152"/>
      <c r="T6" s="2"/>
      <c r="U6" s="57"/>
    </row>
    <row r="7" spans="1:21" ht="47.25" customHeight="1">
      <c r="A7" s="98" t="s">
        <v>1</v>
      </c>
      <c r="B7" s="99" t="s">
        <v>2</v>
      </c>
      <c r="C7" s="99" t="s">
        <v>3</v>
      </c>
      <c r="D7" s="99" t="s">
        <v>4</v>
      </c>
      <c r="E7" s="99" t="s">
        <v>5</v>
      </c>
      <c r="F7" s="153" t="s">
        <v>6</v>
      </c>
      <c r="G7" s="153"/>
      <c r="H7" s="99" t="s">
        <v>88</v>
      </c>
      <c r="I7" s="99" t="s">
        <v>89</v>
      </c>
      <c r="J7" s="99" t="s">
        <v>90</v>
      </c>
      <c r="K7" s="153" t="s">
        <v>91</v>
      </c>
      <c r="L7" s="153"/>
      <c r="M7" s="99" t="s">
        <v>249</v>
      </c>
      <c r="N7" s="99" t="s">
        <v>7</v>
      </c>
      <c r="O7" s="99" t="s">
        <v>8</v>
      </c>
      <c r="P7" s="99" t="s">
        <v>9</v>
      </c>
      <c r="Q7" s="99" t="s">
        <v>10</v>
      </c>
      <c r="R7" s="99" t="s">
        <v>11</v>
      </c>
      <c r="S7" s="99" t="s">
        <v>12</v>
      </c>
      <c r="T7" s="99" t="s">
        <v>13</v>
      </c>
      <c r="U7" s="57"/>
    </row>
    <row r="8" spans="1:21" ht="17.25" customHeight="1">
      <c r="A8" s="92" t="s">
        <v>14</v>
      </c>
      <c r="B8" s="90" t="s">
        <v>15</v>
      </c>
      <c r="C8" s="91">
        <v>1088</v>
      </c>
      <c r="D8" s="91">
        <v>616</v>
      </c>
      <c r="E8" s="91">
        <v>0</v>
      </c>
      <c r="F8" s="154">
        <f t="shared" ref="F8:F18" si="0">C8+D8+E8</f>
        <v>1704</v>
      </c>
      <c r="G8" s="155"/>
      <c r="H8" s="93">
        <v>33</v>
      </c>
      <c r="I8" s="93">
        <v>20</v>
      </c>
      <c r="J8" s="93">
        <v>0</v>
      </c>
      <c r="K8" s="156">
        <f t="shared" ref="K8:K18" si="1">H8+I8+J8</f>
        <v>53</v>
      </c>
      <c r="L8" s="157"/>
      <c r="M8" s="94">
        <f>F8/K8</f>
        <v>32.150943396226417</v>
      </c>
      <c r="N8" s="95">
        <f>P8-O8</f>
        <v>1456.375</v>
      </c>
      <c r="O8" s="95">
        <f>861+239+71.625</f>
        <v>1171.625</v>
      </c>
      <c r="P8" s="96">
        <f>Q8+R8</f>
        <v>2628</v>
      </c>
      <c r="Q8" s="95">
        <v>2241</v>
      </c>
      <c r="R8" s="95">
        <v>387</v>
      </c>
      <c r="S8" s="95">
        <v>174</v>
      </c>
      <c r="T8" s="97">
        <f>P8/F8</f>
        <v>1.5422535211267605</v>
      </c>
      <c r="U8" s="57"/>
    </row>
    <row r="9" spans="1:21" ht="17.25" customHeight="1">
      <c r="A9" s="40" t="s">
        <v>16</v>
      </c>
      <c r="B9" s="42" t="s">
        <v>17</v>
      </c>
      <c r="C9" s="78">
        <v>821</v>
      </c>
      <c r="D9" s="78">
        <v>0</v>
      </c>
      <c r="E9" s="78">
        <v>0</v>
      </c>
      <c r="F9" s="147">
        <f t="shared" si="0"/>
        <v>821</v>
      </c>
      <c r="G9" s="148"/>
      <c r="H9" s="61">
        <v>26.5</v>
      </c>
      <c r="I9" s="61">
        <v>0</v>
      </c>
      <c r="J9" s="61">
        <v>0</v>
      </c>
      <c r="K9" s="149">
        <f t="shared" si="1"/>
        <v>26.5</v>
      </c>
      <c r="L9" s="150"/>
      <c r="M9" s="50">
        <f t="shared" ref="M9:M27" si="2">F9/K9</f>
        <v>30.981132075471699</v>
      </c>
      <c r="N9" s="49">
        <f t="shared" ref="N9:N27" si="3">P9-O9</f>
        <v>1070</v>
      </c>
      <c r="O9" s="49">
        <v>0</v>
      </c>
      <c r="P9" s="55">
        <f t="shared" ref="P9:P27" si="4">Q9+R9</f>
        <v>1070</v>
      </c>
      <c r="Q9" s="49">
        <v>940</v>
      </c>
      <c r="R9" s="49">
        <v>130</v>
      </c>
      <c r="S9" s="49">
        <v>52</v>
      </c>
      <c r="T9" s="43">
        <f t="shared" ref="T9:T25" si="5">P9/F9</f>
        <v>1.3032886723507917</v>
      </c>
      <c r="U9" s="57"/>
    </row>
    <row r="10" spans="1:21" ht="18" customHeight="1">
      <c r="A10" s="40" t="s">
        <v>18</v>
      </c>
      <c r="B10" s="42" t="s">
        <v>19</v>
      </c>
      <c r="C10" s="78">
        <v>634</v>
      </c>
      <c r="D10" s="78">
        <v>0</v>
      </c>
      <c r="E10" s="78">
        <v>0</v>
      </c>
      <c r="F10" s="147">
        <f t="shared" si="0"/>
        <v>634</v>
      </c>
      <c r="G10" s="148"/>
      <c r="H10" s="61">
        <v>21</v>
      </c>
      <c r="I10" s="61">
        <v>0</v>
      </c>
      <c r="J10" s="61">
        <v>0</v>
      </c>
      <c r="K10" s="149">
        <f t="shared" si="1"/>
        <v>21</v>
      </c>
      <c r="L10" s="150"/>
      <c r="M10" s="50">
        <f t="shared" si="2"/>
        <v>30.19047619047619</v>
      </c>
      <c r="N10" s="49">
        <f t="shared" si="3"/>
        <v>894</v>
      </c>
      <c r="O10" s="49">
        <v>0</v>
      </c>
      <c r="P10" s="55">
        <f t="shared" si="4"/>
        <v>894</v>
      </c>
      <c r="Q10" s="49">
        <v>791</v>
      </c>
      <c r="R10" s="49">
        <v>103</v>
      </c>
      <c r="S10" s="49">
        <v>41</v>
      </c>
      <c r="T10" s="43">
        <f t="shared" si="5"/>
        <v>1.4100946372239747</v>
      </c>
      <c r="U10" s="57"/>
    </row>
    <row r="11" spans="1:21" ht="18" customHeight="1">
      <c r="A11" s="40" t="s">
        <v>20</v>
      </c>
      <c r="B11" s="42" t="s">
        <v>21</v>
      </c>
      <c r="C11" s="78">
        <v>310</v>
      </c>
      <c r="D11" s="78">
        <v>150</v>
      </c>
      <c r="E11" s="78">
        <v>0</v>
      </c>
      <c r="F11" s="147">
        <f t="shared" si="0"/>
        <v>460</v>
      </c>
      <c r="G11" s="148"/>
      <c r="H11" s="61">
        <v>11</v>
      </c>
      <c r="I11" s="61">
        <v>6</v>
      </c>
      <c r="J11" s="61">
        <v>0</v>
      </c>
      <c r="K11" s="149">
        <f t="shared" si="1"/>
        <v>17</v>
      </c>
      <c r="L11" s="150"/>
      <c r="M11" s="50">
        <f t="shared" si="2"/>
        <v>27.058823529411764</v>
      </c>
      <c r="N11" s="49">
        <f t="shared" si="3"/>
        <v>551.25</v>
      </c>
      <c r="O11" s="49">
        <f>227+56.75</f>
        <v>283.75</v>
      </c>
      <c r="P11" s="55">
        <f t="shared" si="4"/>
        <v>835</v>
      </c>
      <c r="Q11" s="49">
        <v>654</v>
      </c>
      <c r="R11" s="49">
        <v>181</v>
      </c>
      <c r="S11" s="49">
        <v>87</v>
      </c>
      <c r="T11" s="43">
        <f t="shared" si="5"/>
        <v>1.8152173913043479</v>
      </c>
      <c r="U11" s="57"/>
    </row>
    <row r="12" spans="1:21" ht="18" customHeight="1">
      <c r="A12" s="40" t="s">
        <v>22</v>
      </c>
      <c r="B12" s="42" t="s">
        <v>23</v>
      </c>
      <c r="C12" s="78">
        <v>964</v>
      </c>
      <c r="D12" s="78">
        <v>235</v>
      </c>
      <c r="E12" s="78">
        <v>0</v>
      </c>
      <c r="F12" s="147">
        <f t="shared" si="0"/>
        <v>1199</v>
      </c>
      <c r="G12" s="148"/>
      <c r="H12" s="61">
        <v>31</v>
      </c>
      <c r="I12" s="61">
        <v>9.5</v>
      </c>
      <c r="J12" s="61">
        <v>0</v>
      </c>
      <c r="K12" s="149">
        <f t="shared" si="1"/>
        <v>40.5</v>
      </c>
      <c r="L12" s="150"/>
      <c r="M12" s="50">
        <f t="shared" si="2"/>
        <v>29.604938271604937</v>
      </c>
      <c r="N12" s="49">
        <f t="shared" si="3"/>
        <v>1289</v>
      </c>
      <c r="O12" s="49">
        <f>505+75.5+88.5</f>
        <v>669</v>
      </c>
      <c r="P12" s="55">
        <f t="shared" si="4"/>
        <v>1958</v>
      </c>
      <c r="Q12" s="49">
        <v>1640</v>
      </c>
      <c r="R12" s="49">
        <v>318</v>
      </c>
      <c r="S12" s="49">
        <v>169</v>
      </c>
      <c r="T12" s="43">
        <f t="shared" si="5"/>
        <v>1.6330275229357798</v>
      </c>
      <c r="U12" s="57"/>
    </row>
    <row r="13" spans="1:21" ht="18" customHeight="1">
      <c r="A13" s="40" t="s">
        <v>24</v>
      </c>
      <c r="B13" s="42" t="s">
        <v>25</v>
      </c>
      <c r="C13" s="78">
        <v>961</v>
      </c>
      <c r="D13" s="78">
        <v>0</v>
      </c>
      <c r="E13" s="78">
        <v>0</v>
      </c>
      <c r="F13" s="147">
        <f t="shared" si="0"/>
        <v>961</v>
      </c>
      <c r="G13" s="148"/>
      <c r="H13" s="61">
        <v>34</v>
      </c>
      <c r="I13" s="61">
        <v>0</v>
      </c>
      <c r="J13" s="61">
        <v>0</v>
      </c>
      <c r="K13" s="149">
        <f t="shared" si="1"/>
        <v>34</v>
      </c>
      <c r="L13" s="150"/>
      <c r="M13" s="50">
        <f t="shared" si="2"/>
        <v>28.264705882352942</v>
      </c>
      <c r="N13" s="49">
        <f t="shared" si="3"/>
        <v>1379</v>
      </c>
      <c r="O13" s="49">
        <v>0</v>
      </c>
      <c r="P13" s="55">
        <f t="shared" si="4"/>
        <v>1379</v>
      </c>
      <c r="Q13" s="49">
        <v>1201</v>
      </c>
      <c r="R13" s="49">
        <v>178</v>
      </c>
      <c r="S13" s="49">
        <v>71</v>
      </c>
      <c r="T13" s="43">
        <f t="shared" si="5"/>
        <v>1.4349635796045785</v>
      </c>
      <c r="U13" s="57"/>
    </row>
    <row r="14" spans="1:21" ht="18" customHeight="1">
      <c r="A14" s="40" t="s">
        <v>26</v>
      </c>
      <c r="B14" s="42" t="s">
        <v>27</v>
      </c>
      <c r="C14" s="78">
        <v>1009</v>
      </c>
      <c r="D14" s="78">
        <v>165</v>
      </c>
      <c r="E14" s="78">
        <v>0</v>
      </c>
      <c r="F14" s="147">
        <f t="shared" si="0"/>
        <v>1174</v>
      </c>
      <c r="G14" s="148"/>
      <c r="H14" s="61">
        <v>33.5</v>
      </c>
      <c r="I14" s="61">
        <v>6</v>
      </c>
      <c r="J14" s="61">
        <v>0</v>
      </c>
      <c r="K14" s="149">
        <f t="shared" si="1"/>
        <v>39.5</v>
      </c>
      <c r="L14" s="150"/>
      <c r="M14" s="50">
        <f t="shared" si="2"/>
        <v>29.721518987341771</v>
      </c>
      <c r="N14" s="49">
        <f t="shared" si="3"/>
        <v>1428.25</v>
      </c>
      <c r="O14" s="49">
        <f>275+68.75</f>
        <v>343.75</v>
      </c>
      <c r="P14" s="55">
        <f t="shared" si="4"/>
        <v>1772</v>
      </c>
      <c r="Q14" s="49">
        <v>1487</v>
      </c>
      <c r="R14" s="49">
        <v>285</v>
      </c>
      <c r="S14" s="49">
        <v>154</v>
      </c>
      <c r="T14" s="43">
        <f t="shared" si="5"/>
        <v>1.5093696763202726</v>
      </c>
      <c r="U14" s="57"/>
    </row>
    <row r="15" spans="1:21" ht="18" customHeight="1">
      <c r="A15" s="40" t="s">
        <v>28</v>
      </c>
      <c r="B15" s="42" t="s">
        <v>29</v>
      </c>
      <c r="C15" s="78">
        <v>1284</v>
      </c>
      <c r="D15" s="78">
        <v>108</v>
      </c>
      <c r="E15" s="78">
        <v>0</v>
      </c>
      <c r="F15" s="147">
        <f t="shared" si="0"/>
        <v>1392</v>
      </c>
      <c r="G15" s="148"/>
      <c r="H15" s="61">
        <v>42</v>
      </c>
      <c r="I15" s="61">
        <v>4</v>
      </c>
      <c r="J15" s="61">
        <v>0</v>
      </c>
      <c r="K15" s="149">
        <f t="shared" si="1"/>
        <v>46</v>
      </c>
      <c r="L15" s="150"/>
      <c r="M15" s="50">
        <f t="shared" si="2"/>
        <v>30.260869565217391</v>
      </c>
      <c r="N15" s="49">
        <f t="shared" si="3"/>
        <v>1663</v>
      </c>
      <c r="O15" s="49">
        <f>160+40</f>
        <v>200</v>
      </c>
      <c r="P15" s="55">
        <f t="shared" si="4"/>
        <v>1863</v>
      </c>
      <c r="Q15" s="49">
        <v>1575</v>
      </c>
      <c r="R15" s="49">
        <v>288</v>
      </c>
      <c r="S15" s="49">
        <v>139</v>
      </c>
      <c r="T15" s="43">
        <f t="shared" si="5"/>
        <v>1.3383620689655173</v>
      </c>
      <c r="U15" s="57"/>
    </row>
    <row r="16" spans="1:21" ht="18" customHeight="1">
      <c r="A16" s="40" t="s">
        <v>30</v>
      </c>
      <c r="B16" s="42" t="s">
        <v>31</v>
      </c>
      <c r="C16" s="78">
        <v>626</v>
      </c>
      <c r="D16" s="78">
        <v>0</v>
      </c>
      <c r="E16" s="78">
        <v>0</v>
      </c>
      <c r="F16" s="147">
        <f t="shared" si="0"/>
        <v>626</v>
      </c>
      <c r="G16" s="148"/>
      <c r="H16" s="61">
        <v>21.5</v>
      </c>
      <c r="I16" s="61">
        <v>0</v>
      </c>
      <c r="J16" s="61">
        <v>0</v>
      </c>
      <c r="K16" s="149">
        <f t="shared" si="1"/>
        <v>21.5</v>
      </c>
      <c r="L16" s="150"/>
      <c r="M16" s="50">
        <f t="shared" si="2"/>
        <v>29.11627906976744</v>
      </c>
      <c r="N16" s="49">
        <f t="shared" si="3"/>
        <v>910</v>
      </c>
      <c r="O16" s="49">
        <v>0</v>
      </c>
      <c r="P16" s="55">
        <f t="shared" si="4"/>
        <v>910</v>
      </c>
      <c r="Q16" s="49">
        <v>790</v>
      </c>
      <c r="R16" s="49">
        <v>120</v>
      </c>
      <c r="S16" s="49">
        <v>48</v>
      </c>
      <c r="T16" s="43">
        <f t="shared" si="5"/>
        <v>1.4536741214057507</v>
      </c>
      <c r="U16" s="57"/>
    </row>
    <row r="17" spans="1:21" ht="18" customHeight="1">
      <c r="A17" s="40" t="s">
        <v>32</v>
      </c>
      <c r="B17" s="42" t="s">
        <v>33</v>
      </c>
      <c r="C17" s="78">
        <v>982</v>
      </c>
      <c r="D17" s="78">
        <v>281</v>
      </c>
      <c r="E17" s="78">
        <v>0</v>
      </c>
      <c r="F17" s="147">
        <f t="shared" si="0"/>
        <v>1263</v>
      </c>
      <c r="G17" s="148"/>
      <c r="H17" s="61">
        <v>31.5</v>
      </c>
      <c r="I17" s="61">
        <v>11</v>
      </c>
      <c r="J17" s="61">
        <v>0</v>
      </c>
      <c r="K17" s="149">
        <f t="shared" si="1"/>
        <v>42.5</v>
      </c>
      <c r="L17" s="150"/>
      <c r="M17" s="50">
        <f t="shared" si="2"/>
        <v>29.71764705882353</v>
      </c>
      <c r="N17" s="49">
        <f t="shared" si="3"/>
        <v>1331</v>
      </c>
      <c r="O17" s="49">
        <f>522+81+90</f>
        <v>693</v>
      </c>
      <c r="P17" s="55">
        <f t="shared" si="4"/>
        <v>2024</v>
      </c>
      <c r="Q17" s="49">
        <v>1705</v>
      </c>
      <c r="R17" s="49">
        <v>319</v>
      </c>
      <c r="S17" s="49">
        <v>167</v>
      </c>
      <c r="T17" s="43">
        <f t="shared" si="5"/>
        <v>1.6025336500395884</v>
      </c>
      <c r="U17" s="57"/>
    </row>
    <row r="18" spans="1:21" ht="18" customHeight="1">
      <c r="A18" s="40" t="s">
        <v>36</v>
      </c>
      <c r="B18" s="42" t="s">
        <v>37</v>
      </c>
      <c r="C18" s="78">
        <v>576</v>
      </c>
      <c r="D18" s="78">
        <v>109</v>
      </c>
      <c r="E18" s="78">
        <v>15</v>
      </c>
      <c r="F18" s="147">
        <f t="shared" si="0"/>
        <v>700</v>
      </c>
      <c r="G18" s="148"/>
      <c r="H18" s="61">
        <v>19.5</v>
      </c>
      <c r="I18" s="61">
        <v>4</v>
      </c>
      <c r="J18" s="61">
        <v>0.5</v>
      </c>
      <c r="K18" s="149">
        <f t="shared" si="1"/>
        <v>24</v>
      </c>
      <c r="L18" s="150"/>
      <c r="M18" s="50">
        <f t="shared" si="2"/>
        <v>29.166666666666668</v>
      </c>
      <c r="N18" s="49">
        <f t="shared" si="3"/>
        <v>898.5</v>
      </c>
      <c r="O18" s="49">
        <f>69.5+308</f>
        <v>377.5</v>
      </c>
      <c r="P18" s="55">
        <f t="shared" si="4"/>
        <v>1276</v>
      </c>
      <c r="Q18" s="49">
        <v>1060</v>
      </c>
      <c r="R18" s="49">
        <v>216</v>
      </c>
      <c r="S18" s="49">
        <v>124</v>
      </c>
      <c r="T18" s="43">
        <f t="shared" si="5"/>
        <v>1.822857142857143</v>
      </c>
      <c r="U18" s="57"/>
    </row>
    <row r="19" spans="1:21" ht="18" customHeight="1">
      <c r="A19" s="40" t="s">
        <v>38</v>
      </c>
      <c r="B19" s="42" t="s">
        <v>92</v>
      </c>
      <c r="C19" s="78">
        <v>784</v>
      </c>
      <c r="D19" s="78">
        <v>67</v>
      </c>
      <c r="E19" s="78">
        <v>0</v>
      </c>
      <c r="F19" s="147">
        <f>C19+D19+E19</f>
        <v>851</v>
      </c>
      <c r="G19" s="148"/>
      <c r="H19" s="61">
        <v>27.5</v>
      </c>
      <c r="I19" s="61">
        <v>2</v>
      </c>
      <c r="J19" s="61">
        <v>0</v>
      </c>
      <c r="K19" s="151">
        <f>H19+I19+J19</f>
        <v>29.5</v>
      </c>
      <c r="L19" s="151"/>
      <c r="M19" s="50">
        <f t="shared" si="2"/>
        <v>28.847457627118644</v>
      </c>
      <c r="N19" s="49">
        <f t="shared" si="3"/>
        <v>1170.8699999999999</v>
      </c>
      <c r="O19" s="49">
        <f>126.5+31.63</f>
        <v>158.13</v>
      </c>
      <c r="P19" s="55">
        <f t="shared" si="4"/>
        <v>1329</v>
      </c>
      <c r="Q19" s="49">
        <v>1147</v>
      </c>
      <c r="R19" s="49">
        <v>182</v>
      </c>
      <c r="S19" s="49">
        <v>92</v>
      </c>
      <c r="T19" s="43">
        <f t="shared" si="5"/>
        <v>1.5616921269095183</v>
      </c>
      <c r="U19" s="57"/>
    </row>
    <row r="20" spans="1:21" ht="18" customHeight="1">
      <c r="A20" s="40" t="s">
        <v>39</v>
      </c>
      <c r="B20" s="42" t="s">
        <v>40</v>
      </c>
      <c r="C20" s="78">
        <v>202</v>
      </c>
      <c r="D20" s="78">
        <v>0</v>
      </c>
      <c r="E20" s="78">
        <v>0</v>
      </c>
      <c r="F20" s="147">
        <f t="shared" ref="F20:F26" si="6">C20+D20+E20</f>
        <v>202</v>
      </c>
      <c r="G20" s="148"/>
      <c r="H20" s="61">
        <v>7</v>
      </c>
      <c r="I20" s="61">
        <v>0</v>
      </c>
      <c r="J20" s="61">
        <v>0</v>
      </c>
      <c r="K20" s="149">
        <f t="shared" ref="K20:K26" si="7">H20+I20+J20</f>
        <v>7</v>
      </c>
      <c r="L20" s="150"/>
      <c r="M20" s="50">
        <f t="shared" si="2"/>
        <v>28.857142857142858</v>
      </c>
      <c r="N20" s="49">
        <f t="shared" si="3"/>
        <v>353</v>
      </c>
      <c r="O20" s="49">
        <v>0</v>
      </c>
      <c r="P20" s="55">
        <f t="shared" si="4"/>
        <v>353</v>
      </c>
      <c r="Q20" s="49">
        <v>305</v>
      </c>
      <c r="R20" s="49">
        <v>48</v>
      </c>
      <c r="S20" s="49">
        <v>19</v>
      </c>
      <c r="T20" s="43">
        <f t="shared" si="5"/>
        <v>1.7475247524752475</v>
      </c>
      <c r="U20" s="57"/>
    </row>
    <row r="21" spans="1:21" ht="18" customHeight="1">
      <c r="A21" s="40" t="s">
        <v>41</v>
      </c>
      <c r="B21" s="42" t="s">
        <v>42</v>
      </c>
      <c r="C21" s="78">
        <v>255</v>
      </c>
      <c r="D21" s="78">
        <v>49</v>
      </c>
      <c r="E21" s="78">
        <v>0</v>
      </c>
      <c r="F21" s="147">
        <f t="shared" si="6"/>
        <v>304</v>
      </c>
      <c r="G21" s="148"/>
      <c r="H21" s="61">
        <v>10</v>
      </c>
      <c r="I21" s="61">
        <v>3</v>
      </c>
      <c r="J21" s="61">
        <v>0</v>
      </c>
      <c r="K21" s="149">
        <f t="shared" si="7"/>
        <v>13</v>
      </c>
      <c r="L21" s="150"/>
      <c r="M21" s="50">
        <f t="shared" si="2"/>
        <v>23.384615384615383</v>
      </c>
      <c r="N21" s="49">
        <f t="shared" si="3"/>
        <v>483.5</v>
      </c>
      <c r="O21" s="49">
        <f>186+46.5</f>
        <v>232.5</v>
      </c>
      <c r="P21" s="55">
        <f t="shared" si="4"/>
        <v>716</v>
      </c>
      <c r="Q21" s="49">
        <v>592</v>
      </c>
      <c r="R21" s="49">
        <v>124</v>
      </c>
      <c r="S21" s="49">
        <v>74</v>
      </c>
      <c r="T21" s="43">
        <f t="shared" si="5"/>
        <v>2.3552631578947367</v>
      </c>
      <c r="U21" s="57"/>
    </row>
    <row r="22" spans="1:21" ht="18" customHeight="1">
      <c r="A22" s="40" t="s">
        <v>43</v>
      </c>
      <c r="B22" s="42" t="s">
        <v>44</v>
      </c>
      <c r="C22" s="78">
        <v>354</v>
      </c>
      <c r="D22" s="78">
        <v>186</v>
      </c>
      <c r="E22" s="78">
        <v>0</v>
      </c>
      <c r="F22" s="147">
        <f t="shared" si="6"/>
        <v>540</v>
      </c>
      <c r="G22" s="148"/>
      <c r="H22" s="61">
        <v>12.5</v>
      </c>
      <c r="I22" s="61">
        <v>7</v>
      </c>
      <c r="J22" s="61">
        <v>0</v>
      </c>
      <c r="K22" s="149">
        <f t="shared" si="7"/>
        <v>19.5</v>
      </c>
      <c r="L22" s="150"/>
      <c r="M22" s="50">
        <f t="shared" si="2"/>
        <v>27.692307692307693</v>
      </c>
      <c r="N22" s="49">
        <f t="shared" si="3"/>
        <v>575.26</v>
      </c>
      <c r="O22" s="49">
        <f>307.79+76.95</f>
        <v>384.74</v>
      </c>
      <c r="P22" s="55">
        <f t="shared" si="4"/>
        <v>960</v>
      </c>
      <c r="Q22" s="49">
        <v>782</v>
      </c>
      <c r="R22" s="49">
        <v>178</v>
      </c>
      <c r="S22" s="49">
        <v>110</v>
      </c>
      <c r="T22" s="43">
        <f t="shared" si="5"/>
        <v>1.7777777777777777</v>
      </c>
      <c r="U22" s="57"/>
    </row>
    <row r="23" spans="1:21" ht="18" customHeight="1">
      <c r="A23" s="40" t="s">
        <v>45</v>
      </c>
      <c r="B23" s="42" t="s">
        <v>95</v>
      </c>
      <c r="C23" s="78">
        <v>80</v>
      </c>
      <c r="D23" s="78">
        <v>0</v>
      </c>
      <c r="E23" s="78">
        <v>0</v>
      </c>
      <c r="F23" s="147">
        <f t="shared" si="6"/>
        <v>80</v>
      </c>
      <c r="G23" s="148"/>
      <c r="H23" s="61">
        <v>4</v>
      </c>
      <c r="I23" s="61">
        <v>0</v>
      </c>
      <c r="J23" s="61">
        <v>0</v>
      </c>
      <c r="K23" s="149">
        <f t="shared" si="7"/>
        <v>4</v>
      </c>
      <c r="L23" s="150"/>
      <c r="M23" s="50">
        <f t="shared" si="2"/>
        <v>20</v>
      </c>
      <c r="N23" s="49">
        <f t="shared" si="3"/>
        <v>189</v>
      </c>
      <c r="O23" s="49">
        <v>0</v>
      </c>
      <c r="P23" s="55">
        <f t="shared" si="4"/>
        <v>189</v>
      </c>
      <c r="Q23" s="49">
        <v>179</v>
      </c>
      <c r="R23" s="49">
        <v>10</v>
      </c>
      <c r="S23" s="49">
        <v>10</v>
      </c>
      <c r="T23" s="43">
        <f t="shared" si="5"/>
        <v>2.3624999999999998</v>
      </c>
      <c r="U23" s="57"/>
    </row>
    <row r="24" spans="1:21" ht="18" customHeight="1">
      <c r="A24" s="40" t="s">
        <v>46</v>
      </c>
      <c r="B24" s="42" t="s">
        <v>47</v>
      </c>
      <c r="C24" s="78">
        <v>59</v>
      </c>
      <c r="D24" s="78">
        <v>121</v>
      </c>
      <c r="E24" s="78">
        <v>23</v>
      </c>
      <c r="F24" s="147">
        <f t="shared" si="6"/>
        <v>203</v>
      </c>
      <c r="G24" s="148"/>
      <c r="H24" s="61">
        <v>3</v>
      </c>
      <c r="I24" s="61">
        <v>5</v>
      </c>
      <c r="J24" s="61">
        <v>1</v>
      </c>
      <c r="K24" s="149">
        <f t="shared" si="7"/>
        <v>9</v>
      </c>
      <c r="L24" s="150"/>
      <c r="M24" s="50">
        <f>F24/K24</f>
        <v>22.555555555555557</v>
      </c>
      <c r="N24" s="49">
        <f t="shared" si="3"/>
        <v>142.5</v>
      </c>
      <c r="O24" s="49">
        <f>284+60</f>
        <v>344</v>
      </c>
      <c r="P24" s="55">
        <f t="shared" si="4"/>
        <v>486.5</v>
      </c>
      <c r="Q24" s="49">
        <v>381.5</v>
      </c>
      <c r="R24" s="49">
        <v>105</v>
      </c>
      <c r="S24" s="49">
        <v>69</v>
      </c>
      <c r="T24" s="43">
        <f t="shared" si="5"/>
        <v>2.396551724137931</v>
      </c>
      <c r="U24" s="57"/>
    </row>
    <row r="25" spans="1:21" ht="18" customHeight="1">
      <c r="A25" s="59" t="s">
        <v>48</v>
      </c>
      <c r="B25" s="42" t="s">
        <v>49</v>
      </c>
      <c r="C25" s="78">
        <v>0</v>
      </c>
      <c r="D25" s="78">
        <v>36</v>
      </c>
      <c r="E25" s="78">
        <v>0</v>
      </c>
      <c r="F25" s="147">
        <f t="shared" si="6"/>
        <v>36</v>
      </c>
      <c r="G25" s="148"/>
      <c r="H25" s="61">
        <v>0</v>
      </c>
      <c r="I25" s="61">
        <v>2</v>
      </c>
      <c r="J25" s="61">
        <v>0</v>
      </c>
      <c r="K25" s="149">
        <f t="shared" si="7"/>
        <v>2</v>
      </c>
      <c r="L25" s="150"/>
      <c r="M25" s="50">
        <f t="shared" si="2"/>
        <v>18</v>
      </c>
      <c r="N25" s="49">
        <f t="shared" si="3"/>
        <v>0</v>
      </c>
      <c r="O25" s="49">
        <v>182</v>
      </c>
      <c r="P25" s="55">
        <f t="shared" si="4"/>
        <v>182</v>
      </c>
      <c r="Q25" s="49">
        <v>141</v>
      </c>
      <c r="R25" s="49">
        <v>41</v>
      </c>
      <c r="S25" s="49">
        <v>34.5</v>
      </c>
      <c r="T25" s="43">
        <f t="shared" si="5"/>
        <v>5.0555555555555554</v>
      </c>
      <c r="U25" s="57"/>
    </row>
    <row r="26" spans="1:21" ht="18" customHeight="1">
      <c r="A26" s="60" t="s">
        <v>93</v>
      </c>
      <c r="B26" s="42" t="s">
        <v>94</v>
      </c>
      <c r="C26" s="78">
        <v>70</v>
      </c>
      <c r="D26" s="78">
        <v>0</v>
      </c>
      <c r="E26" s="78">
        <v>0</v>
      </c>
      <c r="F26" s="147">
        <f t="shared" si="6"/>
        <v>70</v>
      </c>
      <c r="G26" s="148"/>
      <c r="H26" s="61">
        <v>4</v>
      </c>
      <c r="I26" s="61">
        <v>0</v>
      </c>
      <c r="J26" s="61">
        <v>0</v>
      </c>
      <c r="K26" s="149">
        <f t="shared" si="7"/>
        <v>4</v>
      </c>
      <c r="L26" s="150"/>
      <c r="M26" s="50">
        <f t="shared" si="2"/>
        <v>17.5</v>
      </c>
      <c r="N26" s="49">
        <f t="shared" si="3"/>
        <v>194</v>
      </c>
      <c r="O26" s="49">
        <v>0</v>
      </c>
      <c r="P26" s="55">
        <f t="shared" si="4"/>
        <v>194</v>
      </c>
      <c r="Q26" s="49">
        <v>176</v>
      </c>
      <c r="R26" s="49">
        <v>18</v>
      </c>
      <c r="S26" s="49">
        <v>7</v>
      </c>
      <c r="T26" s="43">
        <f>P26/F26</f>
        <v>2.7714285714285714</v>
      </c>
      <c r="U26" s="57"/>
    </row>
    <row r="27" spans="1:21" ht="18" customHeight="1">
      <c r="A27" s="41" t="s">
        <v>255</v>
      </c>
      <c r="B27" s="108" t="s">
        <v>148</v>
      </c>
      <c r="C27" s="109">
        <v>19</v>
      </c>
      <c r="D27" s="109">
        <v>0</v>
      </c>
      <c r="E27" s="109">
        <v>0</v>
      </c>
      <c r="F27" s="142">
        <f>C27+D27+E27</f>
        <v>19</v>
      </c>
      <c r="G27" s="143"/>
      <c r="H27" s="110">
        <v>1</v>
      </c>
      <c r="I27" s="110">
        <v>0</v>
      </c>
      <c r="J27" s="110">
        <v>0</v>
      </c>
      <c r="K27" s="144">
        <f>H27+I27+J27</f>
        <v>1</v>
      </c>
      <c r="L27" s="145"/>
      <c r="M27" s="111">
        <f t="shared" si="2"/>
        <v>19</v>
      </c>
      <c r="N27" s="112">
        <f t="shared" si="3"/>
        <v>26.5</v>
      </c>
      <c r="O27" s="112">
        <v>0</v>
      </c>
      <c r="P27" s="113">
        <f t="shared" si="4"/>
        <v>26.5</v>
      </c>
      <c r="Q27" s="112">
        <v>26.5</v>
      </c>
      <c r="R27" s="112">
        <v>0</v>
      </c>
      <c r="S27" s="112">
        <v>0</v>
      </c>
      <c r="T27" s="114">
        <f>P27/F27</f>
        <v>1.3947368421052631</v>
      </c>
      <c r="U27" s="57"/>
    </row>
    <row r="28" spans="1:21" ht="18" customHeight="1">
      <c r="A28" s="130"/>
      <c r="B28" s="116" t="s">
        <v>50</v>
      </c>
      <c r="C28" s="117">
        <f>SUM(C8:C27)</f>
        <v>11078</v>
      </c>
      <c r="D28" s="117">
        <f>SUM(D8:D27)</f>
        <v>2123</v>
      </c>
      <c r="E28" s="117">
        <f>SUM(E8:E27)</f>
        <v>38</v>
      </c>
      <c r="F28" s="146">
        <f>SUM(F8:F27)</f>
        <v>13239</v>
      </c>
      <c r="G28" s="146"/>
      <c r="H28" s="116">
        <f>SUM(H8:H27)</f>
        <v>373.5</v>
      </c>
      <c r="I28" s="116">
        <f>SUM(I8:I27)</f>
        <v>79.5</v>
      </c>
      <c r="J28" s="118">
        <f>SUM(J8:J26)</f>
        <v>1.5</v>
      </c>
      <c r="K28" s="146">
        <f>SUM(K8:K27)</f>
        <v>454.5</v>
      </c>
      <c r="L28" s="146"/>
      <c r="M28" s="119">
        <f>F28/K28</f>
        <v>29.128712871287128</v>
      </c>
      <c r="N28" s="120">
        <f>SUM(N8:N26)</f>
        <v>15978.504999999999</v>
      </c>
      <c r="O28" s="120">
        <f>SUM(O8:O26)</f>
        <v>5039.9949999999999</v>
      </c>
      <c r="P28" s="120">
        <f>SUM(P8:P27)</f>
        <v>21045</v>
      </c>
      <c r="Q28" s="120">
        <f>SUM(Q8:Q27)</f>
        <v>17814</v>
      </c>
      <c r="R28" s="120">
        <f>SUM(R8:R27)</f>
        <v>3231</v>
      </c>
      <c r="S28" s="120">
        <f>SUM(S8:S27)</f>
        <v>1641.5</v>
      </c>
      <c r="T28" s="121">
        <f>P28/F28</f>
        <v>1.5896215726263312</v>
      </c>
      <c r="U28" s="57"/>
    </row>
    <row r="29" spans="1:21" ht="18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</sheetData>
  <mergeCells count="50">
    <mergeCell ref="F2:K2"/>
    <mergeCell ref="F3:K3"/>
    <mergeCell ref="F4:K4"/>
    <mergeCell ref="C6:G6"/>
    <mergeCell ref="H6:L6"/>
    <mergeCell ref="N6:S6"/>
    <mergeCell ref="F7:G7"/>
    <mergeCell ref="K7:L7"/>
    <mergeCell ref="F9:G9"/>
    <mergeCell ref="K9:L9"/>
    <mergeCell ref="F8:G8"/>
    <mergeCell ref="K8:L8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F15:G15"/>
    <mergeCell ref="K15:L15"/>
    <mergeCell ref="F16:G16"/>
    <mergeCell ref="K16:L16"/>
    <mergeCell ref="F17:G17"/>
    <mergeCell ref="K17:L17"/>
    <mergeCell ref="F23:G23"/>
    <mergeCell ref="K23:L23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F27:G27"/>
    <mergeCell ref="K27:L27"/>
    <mergeCell ref="F28:G28"/>
    <mergeCell ref="K28:L28"/>
    <mergeCell ref="F24:G24"/>
    <mergeCell ref="K24:L24"/>
    <mergeCell ref="F25:G25"/>
    <mergeCell ref="K25:L25"/>
    <mergeCell ref="F26:G26"/>
    <mergeCell ref="K26:L26"/>
  </mergeCells>
  <pageMargins left="0.7" right="0.7" top="0.75" bottom="0.75" header="0.3" footer="0.3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0"/>
  <sheetViews>
    <sheetView zoomScale="90" zoomScaleNormal="90" zoomScaleSheetLayoutView="50" workbookViewId="0">
      <selection activeCell="L4" sqref="L4"/>
    </sheetView>
  </sheetViews>
  <sheetFormatPr baseColWidth="10" defaultRowHeight="15"/>
  <cols>
    <col min="2" max="2" width="25.140625" customWidth="1"/>
    <col min="3" max="11" width="11.42578125" customWidth="1"/>
    <col min="12" max="12" width="10.85546875" customWidth="1"/>
    <col min="13" max="13" width="10.5703125" style="54" customWidth="1"/>
    <col min="14" max="14" width="13" customWidth="1"/>
    <col min="15" max="15" width="12.5703125" bestFit="1" customWidth="1"/>
    <col min="16" max="16" width="11.5703125" bestFit="1" customWidth="1"/>
    <col min="17" max="17" width="11.140625" customWidth="1"/>
  </cols>
  <sheetData>
    <row r="1" spans="1:17" ht="18" customHeight="1">
      <c r="F1" s="18"/>
      <c r="G1" s="18" t="s">
        <v>274</v>
      </c>
      <c r="H1" s="18"/>
      <c r="M1" s="18"/>
      <c r="N1" s="18"/>
      <c r="O1" s="18"/>
      <c r="P1" s="18"/>
      <c r="Q1" s="10"/>
    </row>
    <row r="2" spans="1:17" ht="18" customHeight="1">
      <c r="D2" s="10"/>
      <c r="E2" s="10"/>
      <c r="F2" s="10"/>
      <c r="G2" s="138" t="s">
        <v>278</v>
      </c>
      <c r="H2" s="138"/>
      <c r="I2" s="138"/>
      <c r="J2" s="138"/>
      <c r="K2" s="10"/>
      <c r="M2" s="138"/>
      <c r="N2" s="138"/>
      <c r="O2" s="138"/>
      <c r="P2" s="138"/>
      <c r="Q2" s="10"/>
    </row>
    <row r="3" spans="1:17" ht="18" customHeight="1">
      <c r="E3" s="18"/>
      <c r="F3" s="18"/>
      <c r="G3" s="141" t="s">
        <v>279</v>
      </c>
      <c r="H3" s="141"/>
      <c r="I3" s="141"/>
      <c r="J3" s="141"/>
      <c r="K3" s="10"/>
      <c r="M3" s="141"/>
      <c r="N3" s="141"/>
      <c r="O3" s="141"/>
      <c r="P3" s="141"/>
      <c r="Q3" s="57"/>
    </row>
    <row r="4" spans="1:17" s="57" customFormat="1" ht="18" customHeight="1">
      <c r="E4" s="18"/>
      <c r="F4" s="18"/>
      <c r="G4" s="137"/>
      <c r="H4" s="137"/>
      <c r="I4" s="137"/>
      <c r="J4" s="137"/>
      <c r="K4" s="10"/>
      <c r="M4" s="137"/>
      <c r="N4" s="137"/>
      <c r="O4" s="137"/>
      <c r="P4" s="137"/>
    </row>
    <row r="5" spans="1:17" ht="18" customHeight="1">
      <c r="C5" s="138"/>
      <c r="D5" s="138"/>
      <c r="E5" s="138"/>
      <c r="F5" s="138"/>
      <c r="K5" s="57"/>
    </row>
    <row r="6" spans="1:17" s="57" customFormat="1" ht="18" customHeight="1">
      <c r="A6" s="10" t="s">
        <v>276</v>
      </c>
      <c r="C6" s="136"/>
      <c r="D6" s="136"/>
      <c r="E6" s="136"/>
      <c r="F6" s="136"/>
    </row>
    <row r="7" spans="1:17" ht="18" customHeight="1"/>
    <row r="8" spans="1:17" ht="18" customHeight="1" thickBot="1">
      <c r="A8" s="159" t="s">
        <v>1</v>
      </c>
      <c r="B8" s="160"/>
      <c r="C8" s="152" t="s">
        <v>0</v>
      </c>
      <c r="D8" s="152"/>
      <c r="E8" s="152"/>
      <c r="F8" s="152"/>
      <c r="G8" s="152"/>
      <c r="H8" s="152" t="s">
        <v>87</v>
      </c>
      <c r="I8" s="152"/>
      <c r="J8" s="152"/>
      <c r="K8" s="152"/>
      <c r="L8" s="100"/>
      <c r="M8" s="100"/>
      <c r="N8" s="163" t="s">
        <v>254</v>
      </c>
      <c r="O8" s="163"/>
      <c r="P8" s="163"/>
      <c r="Q8" s="163"/>
    </row>
    <row r="9" spans="1:17" ht="49.5" customHeight="1">
      <c r="A9" s="161"/>
      <c r="B9" s="162"/>
      <c r="C9" s="107" t="s">
        <v>51</v>
      </c>
      <c r="D9" s="107" t="s">
        <v>52</v>
      </c>
      <c r="E9" s="107" t="s">
        <v>53</v>
      </c>
      <c r="F9" s="107" t="s">
        <v>54</v>
      </c>
      <c r="G9" s="107" t="s">
        <v>55</v>
      </c>
      <c r="H9" s="107" t="s">
        <v>96</v>
      </c>
      <c r="I9" s="107" t="s">
        <v>97</v>
      </c>
      <c r="J9" s="107" t="s">
        <v>98</v>
      </c>
      <c r="K9" s="107" t="s">
        <v>89</v>
      </c>
      <c r="L9" s="107" t="s">
        <v>223</v>
      </c>
      <c r="M9" s="107" t="s">
        <v>253</v>
      </c>
      <c r="N9" s="107" t="s">
        <v>56</v>
      </c>
      <c r="O9" s="107" t="s">
        <v>10</v>
      </c>
      <c r="P9" s="107" t="s">
        <v>11</v>
      </c>
      <c r="Q9" s="107" t="s">
        <v>57</v>
      </c>
    </row>
    <row r="10" spans="1:17" ht="16.5" customHeight="1">
      <c r="A10" s="101" t="s">
        <v>58</v>
      </c>
      <c r="B10" s="101" t="s">
        <v>59</v>
      </c>
      <c r="C10" s="105">
        <v>82</v>
      </c>
      <c r="D10" s="105">
        <v>290</v>
      </c>
      <c r="E10" s="105">
        <v>23</v>
      </c>
      <c r="F10" s="105">
        <v>10</v>
      </c>
      <c r="G10" s="105">
        <f>C10+D10+E10+F10</f>
        <v>405</v>
      </c>
      <c r="H10" s="105">
        <v>4</v>
      </c>
      <c r="I10" s="105">
        <v>12</v>
      </c>
      <c r="J10" s="105">
        <v>1.5</v>
      </c>
      <c r="K10" s="105">
        <v>0</v>
      </c>
      <c r="L10" s="105">
        <f>H10+I10+J10+K10</f>
        <v>17.5</v>
      </c>
      <c r="M10" s="106">
        <f>G10/L10</f>
        <v>23.142857142857142</v>
      </c>
      <c r="N10" s="106">
        <f>O10+P10</f>
        <v>862.75</v>
      </c>
      <c r="O10" s="106">
        <f>216+573.75+33-66+40</f>
        <v>796.75</v>
      </c>
      <c r="P10" s="106">
        <f>66</f>
        <v>66</v>
      </c>
      <c r="Q10" s="106">
        <f t="shared" ref="Q10:Q25" si="0">N10/G10</f>
        <v>2.1302469135802471</v>
      </c>
    </row>
    <row r="11" spans="1:17" ht="18" customHeight="1">
      <c r="A11" s="101" t="s">
        <v>60</v>
      </c>
      <c r="B11" s="101" t="s">
        <v>61</v>
      </c>
      <c r="C11" s="102">
        <v>54</v>
      </c>
      <c r="D11" s="102">
        <v>680</v>
      </c>
      <c r="E11" s="102">
        <v>12</v>
      </c>
      <c r="F11" s="102">
        <v>30</v>
      </c>
      <c r="G11" s="102">
        <f t="shared" ref="G11:G25" si="1">C11+D11+E11+F11</f>
        <v>776</v>
      </c>
      <c r="H11" s="102">
        <v>2.5</v>
      </c>
      <c r="I11" s="102">
        <v>26</v>
      </c>
      <c r="J11" s="102">
        <v>1</v>
      </c>
      <c r="K11" s="102">
        <v>1</v>
      </c>
      <c r="L11" s="102">
        <f t="shared" ref="L11:L25" si="2">H11+I11+J11+K11</f>
        <v>30.5</v>
      </c>
      <c r="M11" s="103">
        <f t="shared" ref="M11:M26" si="3">G11/L11</f>
        <v>25.442622950819672</v>
      </c>
      <c r="N11" s="103">
        <f t="shared" ref="N11:N25" si="4">O11+P11</f>
        <v>1674.63</v>
      </c>
      <c r="O11" s="103">
        <v>1544.63</v>
      </c>
      <c r="P11" s="103">
        <v>130</v>
      </c>
      <c r="Q11" s="103">
        <f t="shared" si="0"/>
        <v>2.158028350515464</v>
      </c>
    </row>
    <row r="12" spans="1:17" ht="18" customHeight="1">
      <c r="A12" s="101" t="s">
        <v>62</v>
      </c>
      <c r="B12" s="101" t="s">
        <v>63</v>
      </c>
      <c r="C12" s="102">
        <v>131</v>
      </c>
      <c r="D12" s="102">
        <v>465</v>
      </c>
      <c r="E12" s="102">
        <v>14</v>
      </c>
      <c r="F12" s="102">
        <v>37</v>
      </c>
      <c r="G12" s="102">
        <f t="shared" si="1"/>
        <v>647</v>
      </c>
      <c r="H12" s="102">
        <v>7</v>
      </c>
      <c r="I12" s="102">
        <v>20.5</v>
      </c>
      <c r="J12" s="102">
        <v>1</v>
      </c>
      <c r="K12" s="102">
        <v>2</v>
      </c>
      <c r="L12" s="102">
        <f t="shared" si="2"/>
        <v>30.5</v>
      </c>
      <c r="M12" s="103">
        <f t="shared" si="3"/>
        <v>21.21311475409836</v>
      </c>
      <c r="N12" s="103">
        <f t="shared" si="4"/>
        <v>1661.91</v>
      </c>
      <c r="O12" s="103">
        <v>1521.91</v>
      </c>
      <c r="P12" s="103">
        <v>140</v>
      </c>
      <c r="Q12" s="103">
        <f t="shared" si="0"/>
        <v>2.5686398763523957</v>
      </c>
    </row>
    <row r="13" spans="1:17" ht="18" customHeight="1">
      <c r="A13" s="101" t="s">
        <v>64</v>
      </c>
      <c r="B13" s="101" t="s">
        <v>65</v>
      </c>
      <c r="C13" s="102">
        <v>93</v>
      </c>
      <c r="D13" s="102">
        <v>336</v>
      </c>
      <c r="E13" s="102">
        <v>15</v>
      </c>
      <c r="F13" s="102">
        <v>0</v>
      </c>
      <c r="G13" s="102">
        <f t="shared" si="1"/>
        <v>444</v>
      </c>
      <c r="H13" s="102">
        <v>6</v>
      </c>
      <c r="I13" s="102">
        <v>16</v>
      </c>
      <c r="J13" s="102">
        <v>1</v>
      </c>
      <c r="K13" s="102">
        <v>0</v>
      </c>
      <c r="L13" s="102">
        <f t="shared" si="2"/>
        <v>23</v>
      </c>
      <c r="M13" s="103">
        <f t="shared" si="3"/>
        <v>19.304347826086957</v>
      </c>
      <c r="N13" s="103">
        <f t="shared" si="4"/>
        <v>1298.2</v>
      </c>
      <c r="O13" s="103">
        <f>421.5+791.7-100.5+85</f>
        <v>1197.7</v>
      </c>
      <c r="P13" s="103">
        <v>100.5</v>
      </c>
      <c r="Q13" s="103">
        <f t="shared" si="0"/>
        <v>2.9238738738738741</v>
      </c>
    </row>
    <row r="14" spans="1:17" ht="18" customHeight="1">
      <c r="A14" s="101" t="s">
        <v>66</v>
      </c>
      <c r="B14" s="101" t="s">
        <v>252</v>
      </c>
      <c r="C14" s="102">
        <v>196</v>
      </c>
      <c r="D14" s="102">
        <v>567</v>
      </c>
      <c r="E14" s="102">
        <v>30</v>
      </c>
      <c r="F14" s="102">
        <v>15</v>
      </c>
      <c r="G14" s="102">
        <f t="shared" si="1"/>
        <v>808</v>
      </c>
      <c r="H14" s="102">
        <v>8</v>
      </c>
      <c r="I14" s="102">
        <v>24.5</v>
      </c>
      <c r="J14" s="102">
        <v>2</v>
      </c>
      <c r="K14" s="102">
        <v>1</v>
      </c>
      <c r="L14" s="102">
        <f t="shared" si="2"/>
        <v>35.5</v>
      </c>
      <c r="M14" s="103">
        <f t="shared" si="3"/>
        <v>22.760563380281692</v>
      </c>
      <c r="N14" s="103">
        <f t="shared" si="4"/>
        <v>2006.25</v>
      </c>
      <c r="O14" s="103">
        <f>588+1208+33+38-136.5+131+8.25-8.25</f>
        <v>1861.5</v>
      </c>
      <c r="P14" s="103">
        <f>136.5+8.25</f>
        <v>144.75</v>
      </c>
      <c r="Q14" s="103">
        <f t="shared" si="0"/>
        <v>2.4829826732673266</v>
      </c>
    </row>
    <row r="15" spans="1:17" ht="18" customHeight="1">
      <c r="A15" s="101" t="s">
        <v>67</v>
      </c>
      <c r="B15" s="101" t="s">
        <v>68</v>
      </c>
      <c r="C15" s="102">
        <v>73</v>
      </c>
      <c r="D15" s="102">
        <v>143</v>
      </c>
      <c r="E15" s="102">
        <v>15</v>
      </c>
      <c r="F15" s="102">
        <v>0</v>
      </c>
      <c r="G15" s="102">
        <f t="shared" si="1"/>
        <v>231</v>
      </c>
      <c r="H15" s="102">
        <v>5</v>
      </c>
      <c r="I15" s="102">
        <v>7</v>
      </c>
      <c r="J15" s="102">
        <v>1</v>
      </c>
      <c r="K15" s="102">
        <v>0</v>
      </c>
      <c r="L15" s="102">
        <f t="shared" si="2"/>
        <v>13</v>
      </c>
      <c r="M15" s="103">
        <f t="shared" si="3"/>
        <v>17.76923076923077</v>
      </c>
      <c r="N15" s="103">
        <f t="shared" si="4"/>
        <v>826</v>
      </c>
      <c r="O15" s="103">
        <f>353+415+58-63</f>
        <v>763</v>
      </c>
      <c r="P15" s="103">
        <v>63</v>
      </c>
      <c r="Q15" s="103">
        <f t="shared" si="0"/>
        <v>3.5757575757575757</v>
      </c>
    </row>
    <row r="16" spans="1:17" ht="18" customHeight="1">
      <c r="A16" s="101" t="s">
        <v>69</v>
      </c>
      <c r="B16" s="101" t="s">
        <v>70</v>
      </c>
      <c r="C16" s="102">
        <v>52</v>
      </c>
      <c r="D16" s="102">
        <v>536</v>
      </c>
      <c r="E16" s="102">
        <v>0</v>
      </c>
      <c r="F16" s="102">
        <v>61</v>
      </c>
      <c r="G16" s="102">
        <f t="shared" si="1"/>
        <v>649</v>
      </c>
      <c r="H16" s="102">
        <v>2</v>
      </c>
      <c r="I16" s="102">
        <v>19</v>
      </c>
      <c r="J16" s="102">
        <v>1</v>
      </c>
      <c r="K16" s="102">
        <v>2</v>
      </c>
      <c r="L16" s="102">
        <f t="shared" si="2"/>
        <v>24</v>
      </c>
      <c r="M16" s="103">
        <f t="shared" si="3"/>
        <v>27.041666666666668</v>
      </c>
      <c r="N16" s="103">
        <f t="shared" si="4"/>
        <v>1151.25</v>
      </c>
      <c r="O16" s="103">
        <f>139+839+97+19-84+33+24.25-24.25</f>
        <v>1043</v>
      </c>
      <c r="P16" s="103">
        <f>84+24.25</f>
        <v>108.25</v>
      </c>
      <c r="Q16" s="103">
        <f t="shared" si="0"/>
        <v>1.7738828967642526</v>
      </c>
    </row>
    <row r="17" spans="1:17" ht="18" customHeight="1">
      <c r="A17" s="101" t="s">
        <v>71</v>
      </c>
      <c r="B17" s="101" t="s">
        <v>72</v>
      </c>
      <c r="C17" s="102">
        <v>161</v>
      </c>
      <c r="D17" s="102">
        <v>228</v>
      </c>
      <c r="E17" s="102">
        <v>15</v>
      </c>
      <c r="F17" s="102">
        <v>30</v>
      </c>
      <c r="G17" s="102">
        <f t="shared" si="1"/>
        <v>434</v>
      </c>
      <c r="H17" s="102">
        <v>6</v>
      </c>
      <c r="I17" s="102">
        <v>8.5</v>
      </c>
      <c r="J17" s="102">
        <v>1</v>
      </c>
      <c r="K17" s="102">
        <v>1</v>
      </c>
      <c r="L17" s="102">
        <f t="shared" si="2"/>
        <v>16.5</v>
      </c>
      <c r="M17" s="103">
        <f t="shared" si="3"/>
        <v>26.303030303030305</v>
      </c>
      <c r="N17" s="103">
        <f t="shared" si="4"/>
        <v>1033.7</v>
      </c>
      <c r="O17" s="103">
        <f>420+438.7+72-66+85+18-18</f>
        <v>949.7</v>
      </c>
      <c r="P17" s="103">
        <f>66+18</f>
        <v>84</v>
      </c>
      <c r="Q17" s="103">
        <f t="shared" si="0"/>
        <v>2.3817972350230416</v>
      </c>
    </row>
    <row r="18" spans="1:17" ht="18" customHeight="1">
      <c r="A18" s="101" t="s">
        <v>35</v>
      </c>
      <c r="B18" s="101" t="s">
        <v>34</v>
      </c>
      <c r="C18" s="102">
        <v>113</v>
      </c>
      <c r="D18" s="102">
        <v>352</v>
      </c>
      <c r="E18" s="102">
        <v>59</v>
      </c>
      <c r="F18" s="102">
        <v>0</v>
      </c>
      <c r="G18" s="102">
        <f t="shared" si="1"/>
        <v>524</v>
      </c>
      <c r="H18" s="102">
        <v>4</v>
      </c>
      <c r="I18" s="102">
        <v>12</v>
      </c>
      <c r="J18" s="102">
        <v>3</v>
      </c>
      <c r="K18" s="102">
        <v>0</v>
      </c>
      <c r="L18" s="102">
        <f t="shared" si="2"/>
        <v>19</v>
      </c>
      <c r="M18" s="103">
        <f t="shared" si="3"/>
        <v>27.578947368421051</v>
      </c>
      <c r="N18" s="103">
        <f t="shared" si="4"/>
        <v>980.25</v>
      </c>
      <c r="O18" s="103">
        <v>901</v>
      </c>
      <c r="P18" s="103">
        <v>79.25</v>
      </c>
      <c r="Q18" s="103">
        <f t="shared" si="0"/>
        <v>1.8707061068702291</v>
      </c>
    </row>
    <row r="19" spans="1:17" ht="18" customHeight="1">
      <c r="A19" s="101" t="s">
        <v>73</v>
      </c>
      <c r="B19" s="101" t="s">
        <v>74</v>
      </c>
      <c r="C19" s="102">
        <v>0</v>
      </c>
      <c r="D19" s="102">
        <v>249</v>
      </c>
      <c r="E19" s="102">
        <v>0</v>
      </c>
      <c r="F19" s="102">
        <f>113+30</f>
        <v>143</v>
      </c>
      <c r="G19" s="102">
        <f t="shared" si="1"/>
        <v>392</v>
      </c>
      <c r="H19" s="102">
        <v>0</v>
      </c>
      <c r="I19" s="102">
        <v>9</v>
      </c>
      <c r="J19" s="102">
        <v>1</v>
      </c>
      <c r="K19" s="102">
        <v>4</v>
      </c>
      <c r="L19" s="102">
        <f t="shared" si="2"/>
        <v>14</v>
      </c>
      <c r="M19" s="103">
        <f t="shared" si="3"/>
        <v>28</v>
      </c>
      <c r="N19" s="103">
        <f t="shared" si="4"/>
        <v>732.5</v>
      </c>
      <c r="O19" s="103">
        <v>631.5</v>
      </c>
      <c r="P19" s="103">
        <v>101</v>
      </c>
      <c r="Q19" s="103">
        <f t="shared" si="0"/>
        <v>1.8686224489795917</v>
      </c>
    </row>
    <row r="20" spans="1:17" ht="18" customHeight="1">
      <c r="A20" s="101" t="s">
        <v>75</v>
      </c>
      <c r="B20" s="101" t="s">
        <v>76</v>
      </c>
      <c r="C20" s="102">
        <v>0</v>
      </c>
      <c r="D20" s="102">
        <v>174</v>
      </c>
      <c r="E20" s="102">
        <v>0</v>
      </c>
      <c r="F20" s="102">
        <v>0</v>
      </c>
      <c r="G20" s="102">
        <f t="shared" si="1"/>
        <v>174</v>
      </c>
      <c r="H20" s="102">
        <v>0</v>
      </c>
      <c r="I20" s="102">
        <v>6</v>
      </c>
      <c r="J20" s="102">
        <v>0</v>
      </c>
      <c r="K20" s="102">
        <v>0</v>
      </c>
      <c r="L20" s="102">
        <f t="shared" si="2"/>
        <v>6</v>
      </c>
      <c r="M20" s="103">
        <f t="shared" si="3"/>
        <v>29</v>
      </c>
      <c r="N20" s="103">
        <f t="shared" si="4"/>
        <v>306.5</v>
      </c>
      <c r="O20" s="103">
        <f>306.5-22.5</f>
        <v>284</v>
      </c>
      <c r="P20" s="103">
        <v>22.5</v>
      </c>
      <c r="Q20" s="103">
        <f t="shared" si="0"/>
        <v>1.7614942528735633</v>
      </c>
    </row>
    <row r="21" spans="1:17" ht="18" customHeight="1">
      <c r="A21" s="101" t="s">
        <v>77</v>
      </c>
      <c r="B21" s="101" t="s">
        <v>78</v>
      </c>
      <c r="C21" s="102">
        <v>39</v>
      </c>
      <c r="D21" s="102">
        <v>42</v>
      </c>
      <c r="E21" s="102">
        <v>0</v>
      </c>
      <c r="F21" s="102">
        <v>0</v>
      </c>
      <c r="G21" s="102">
        <f t="shared" si="1"/>
        <v>81</v>
      </c>
      <c r="H21" s="102">
        <v>2</v>
      </c>
      <c r="I21" s="102">
        <v>1.5</v>
      </c>
      <c r="J21" s="102">
        <v>0</v>
      </c>
      <c r="K21" s="102">
        <v>0</v>
      </c>
      <c r="L21" s="102">
        <f t="shared" si="2"/>
        <v>3.5</v>
      </c>
      <c r="M21" s="103">
        <f t="shared" si="3"/>
        <v>23.142857142857142</v>
      </c>
      <c r="N21" s="103">
        <f t="shared" si="4"/>
        <v>216</v>
      </c>
      <c r="O21" s="103">
        <f>108+105-18+3</f>
        <v>198</v>
      </c>
      <c r="P21" s="103">
        <f>18</f>
        <v>18</v>
      </c>
      <c r="Q21" s="103">
        <f t="shared" si="0"/>
        <v>2.6666666666666665</v>
      </c>
    </row>
    <row r="22" spans="1:17" ht="18" customHeight="1">
      <c r="A22" s="101" t="s">
        <v>79</v>
      </c>
      <c r="B22" s="101" t="s">
        <v>80</v>
      </c>
      <c r="C22" s="102">
        <v>82</v>
      </c>
      <c r="D22" s="102">
        <v>68</v>
      </c>
      <c r="E22" s="102">
        <v>0</v>
      </c>
      <c r="F22" s="102">
        <v>0</v>
      </c>
      <c r="G22" s="102">
        <f t="shared" si="1"/>
        <v>150</v>
      </c>
      <c r="H22" s="102">
        <v>4</v>
      </c>
      <c r="I22" s="102">
        <v>3</v>
      </c>
      <c r="J22" s="102">
        <v>0</v>
      </c>
      <c r="K22" s="102">
        <v>0.5</v>
      </c>
      <c r="L22" s="102">
        <f t="shared" si="2"/>
        <v>7.5</v>
      </c>
      <c r="M22" s="103">
        <f t="shared" si="3"/>
        <v>20</v>
      </c>
      <c r="N22" s="103">
        <f t="shared" si="4"/>
        <v>534.79999999999995</v>
      </c>
      <c r="O22" s="103">
        <f>256+230.8-33+48</f>
        <v>501.8</v>
      </c>
      <c r="P22" s="103">
        <f>33</f>
        <v>33</v>
      </c>
      <c r="Q22" s="103">
        <f t="shared" si="0"/>
        <v>3.5653333333333332</v>
      </c>
    </row>
    <row r="23" spans="1:17" ht="18" customHeight="1">
      <c r="A23" s="101" t="s">
        <v>81</v>
      </c>
      <c r="B23" s="101" t="s">
        <v>82</v>
      </c>
      <c r="C23" s="102">
        <v>68</v>
      </c>
      <c r="D23" s="102">
        <v>187</v>
      </c>
      <c r="E23" s="102">
        <v>24</v>
      </c>
      <c r="F23" s="102">
        <v>22</v>
      </c>
      <c r="G23" s="102">
        <f t="shared" si="1"/>
        <v>301</v>
      </c>
      <c r="H23" s="102">
        <v>3</v>
      </c>
      <c r="I23" s="102">
        <v>8</v>
      </c>
      <c r="J23" s="102">
        <v>1</v>
      </c>
      <c r="K23" s="102">
        <v>1</v>
      </c>
      <c r="L23" s="102">
        <f t="shared" si="2"/>
        <v>13</v>
      </c>
      <c r="M23" s="103">
        <f t="shared" si="3"/>
        <v>23.153846153846153</v>
      </c>
      <c r="N23" s="103">
        <f t="shared" si="4"/>
        <v>743.45</v>
      </c>
      <c r="O23" s="103">
        <v>695.45</v>
      </c>
      <c r="P23" s="103">
        <f>48</f>
        <v>48</v>
      </c>
      <c r="Q23" s="103">
        <f t="shared" si="0"/>
        <v>2.4699335548172758</v>
      </c>
    </row>
    <row r="24" spans="1:17" ht="18" customHeight="1">
      <c r="A24" s="101" t="s">
        <v>83</v>
      </c>
      <c r="B24" s="101" t="s">
        <v>84</v>
      </c>
      <c r="C24" s="102">
        <v>124</v>
      </c>
      <c r="D24" s="102">
        <v>402</v>
      </c>
      <c r="E24" s="102">
        <v>0</v>
      </c>
      <c r="F24" s="102">
        <v>0</v>
      </c>
      <c r="G24" s="102">
        <f t="shared" si="1"/>
        <v>526</v>
      </c>
      <c r="H24" s="102">
        <v>5</v>
      </c>
      <c r="I24" s="102">
        <v>15</v>
      </c>
      <c r="J24" s="102">
        <v>0</v>
      </c>
      <c r="K24" s="102">
        <v>0</v>
      </c>
      <c r="L24" s="102">
        <f t="shared" si="2"/>
        <v>20</v>
      </c>
      <c r="M24" s="103">
        <f t="shared" si="3"/>
        <v>26.3</v>
      </c>
      <c r="N24" s="103">
        <f t="shared" si="4"/>
        <v>1094.1300000000001</v>
      </c>
      <c r="O24" s="103">
        <v>1019.13</v>
      </c>
      <c r="P24" s="103">
        <f>75</f>
        <v>75</v>
      </c>
      <c r="Q24" s="103">
        <f t="shared" si="0"/>
        <v>2.0800950570342209</v>
      </c>
    </row>
    <row r="25" spans="1:17" ht="18" customHeight="1">
      <c r="A25" s="104" t="s">
        <v>85</v>
      </c>
      <c r="B25" s="101" t="s">
        <v>86</v>
      </c>
      <c r="C25" s="102">
        <v>0</v>
      </c>
      <c r="D25" s="102">
        <v>70</v>
      </c>
      <c r="E25" s="102">
        <v>0</v>
      </c>
      <c r="F25" s="102">
        <v>13</v>
      </c>
      <c r="G25" s="102">
        <f t="shared" si="1"/>
        <v>83</v>
      </c>
      <c r="H25" s="102">
        <v>0</v>
      </c>
      <c r="I25" s="102">
        <v>3</v>
      </c>
      <c r="J25" s="102">
        <v>0.5</v>
      </c>
      <c r="K25" s="102">
        <v>0</v>
      </c>
      <c r="L25" s="102">
        <f t="shared" si="2"/>
        <v>3.5</v>
      </c>
      <c r="M25" s="103">
        <f t="shared" si="3"/>
        <v>23.714285714285715</v>
      </c>
      <c r="N25" s="103">
        <f t="shared" si="4"/>
        <v>183</v>
      </c>
      <c r="O25" s="103">
        <f>21+139+23-6</f>
        <v>177</v>
      </c>
      <c r="P25" s="103">
        <v>6</v>
      </c>
      <c r="Q25" s="103">
        <f t="shared" si="0"/>
        <v>2.2048192771084336</v>
      </c>
    </row>
    <row r="26" spans="1:17" ht="30.75" customHeight="1">
      <c r="A26" s="158" t="s">
        <v>50</v>
      </c>
      <c r="B26" s="158"/>
      <c r="C26" s="125">
        <f>SUM(C10:C25)</f>
        <v>1268</v>
      </c>
      <c r="D26" s="125">
        <f t="shared" ref="D26:P26" si="5">SUM(D10:D25)</f>
        <v>4789</v>
      </c>
      <c r="E26" s="125">
        <f t="shared" si="5"/>
        <v>207</v>
      </c>
      <c r="F26" s="125">
        <f t="shared" si="5"/>
        <v>361</v>
      </c>
      <c r="G26" s="125">
        <f t="shared" si="5"/>
        <v>6625</v>
      </c>
      <c r="H26" s="125">
        <f t="shared" si="5"/>
        <v>58.5</v>
      </c>
      <c r="I26" s="125">
        <f t="shared" si="5"/>
        <v>191</v>
      </c>
      <c r="J26" s="125">
        <f t="shared" si="5"/>
        <v>15</v>
      </c>
      <c r="K26" s="125">
        <f t="shared" si="5"/>
        <v>12.5</v>
      </c>
      <c r="L26" s="125">
        <f t="shared" si="5"/>
        <v>277</v>
      </c>
      <c r="M26" s="125">
        <f t="shared" si="3"/>
        <v>23.91696750902527</v>
      </c>
      <c r="N26" s="125">
        <f t="shared" si="5"/>
        <v>15305.32</v>
      </c>
      <c r="O26" s="125">
        <f t="shared" si="5"/>
        <v>14086.07</v>
      </c>
      <c r="P26" s="125">
        <f t="shared" si="5"/>
        <v>1219.25</v>
      </c>
      <c r="Q26" s="125">
        <f>N26/G26</f>
        <v>2.3102369811320753</v>
      </c>
    </row>
    <row r="28" spans="1:17" ht="9" customHeight="1"/>
    <row r="29" spans="1:17">
      <c r="D29" s="37"/>
      <c r="P29" s="19"/>
    </row>
    <row r="30" spans="1:17">
      <c r="D30" s="37"/>
      <c r="O30" s="57"/>
    </row>
  </sheetData>
  <mergeCells count="10">
    <mergeCell ref="A26:B26"/>
    <mergeCell ref="H8:K8"/>
    <mergeCell ref="M2:P2"/>
    <mergeCell ref="M3:P3"/>
    <mergeCell ref="C5:F5"/>
    <mergeCell ref="G2:J2"/>
    <mergeCell ref="G3:J3"/>
    <mergeCell ref="A8:B9"/>
    <mergeCell ref="C8:G8"/>
    <mergeCell ref="N8:Q8"/>
  </mergeCells>
  <pageMargins left="0.7" right="0.7" top="0.75" bottom="0.75" header="0.3" footer="0.3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DGH r2022 clg</vt:lpstr>
      <vt:lpstr>structures r2022 clg</vt:lpstr>
      <vt:lpstr>DGH et structures r2022 SEGPA</vt:lpstr>
      <vt:lpstr>struct et DHG r2022 lgt lpo</vt:lpstr>
      <vt:lpstr>Struct et DGH r2022 lp et sep</vt:lpstr>
      <vt:lpstr>'DGH et structures r2022 SEGPA'!Zone_d_impression</vt:lpstr>
    </vt:vector>
  </TitlesOfParts>
  <Company>Rectorat de l'Académie de Guadeloupe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kagelan</dc:creator>
  <cp:lastModifiedBy>kagelan</cp:lastModifiedBy>
  <cp:lastPrinted>2022-01-17T15:01:51Z</cp:lastPrinted>
  <dcterms:created xsi:type="dcterms:W3CDTF">2021-01-13T15:19:43Z</dcterms:created>
  <dcterms:modified xsi:type="dcterms:W3CDTF">2022-01-17T15:04:09Z</dcterms:modified>
</cp:coreProperties>
</file>